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aveExternalLinkValues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DVGW\2024_Berechnungstools\tools\"/>
    </mc:Choice>
  </mc:AlternateContent>
  <xr:revisionPtr revIDLastSave="0" documentId="13_ncr:1_{24597E7C-AABC-4204-9FE5-3FC01D227648}" xr6:coauthVersionLast="47" xr6:coauthVersionMax="47" xr10:uidLastSave="{00000000-0000-0000-0000-000000000000}"/>
  <workbookProtection workbookPassword="C8D7" lockStructure="1"/>
  <bookViews>
    <workbookView xWindow="-31575" yWindow="3975" windowWidth="26205" windowHeight="15270" xr2:uid="{00000000-000D-0000-FFFF-FFFF00000000}"/>
  </bookViews>
  <sheets>
    <sheet name="Anlagenberechnung" sheetId="1" r:id="rId1"/>
    <sheet name="Bedienungsanleitung" sheetId="2" r:id="rId2"/>
  </sheets>
  <definedNames>
    <definedName name="_xlnm.Print_Area" localSheetId="0">Anlagenberechnung!$A$1:$M$104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1" l="1"/>
  <c r="D71" i="1"/>
  <c r="E71" i="1" s="1"/>
  <c r="D72" i="1"/>
  <c r="F16" i="1"/>
  <c r="L25" i="1" s="1"/>
  <c r="F52" i="1"/>
  <c r="D74" i="1" s="1"/>
  <c r="G78" i="1"/>
  <c r="H69" i="1"/>
  <c r="H78" i="1" s="1"/>
  <c r="F19" i="1"/>
  <c r="L28" i="1" s="1"/>
  <c r="H12" i="1"/>
  <c r="F58" i="1"/>
  <c r="E76" i="1" s="1"/>
  <c r="I76" i="1" s="1"/>
  <c r="D75" i="1"/>
  <c r="E75" i="1" s="1"/>
  <c r="F21" i="1"/>
  <c r="F48" i="1" s="1"/>
  <c r="G47" i="1"/>
  <c r="H48" i="1"/>
  <c r="E52" i="1"/>
  <c r="F43" i="1"/>
  <c r="G43" i="1" s="1"/>
  <c r="D73" i="1"/>
  <c r="F18" i="1"/>
  <c r="L27" i="1" s="1"/>
  <c r="M29" i="1" s="1"/>
  <c r="M30" i="1" s="1"/>
  <c r="F17" i="1"/>
  <c r="D70" i="1"/>
  <c r="E70" i="1" s="1"/>
  <c r="I75" i="1" l="1"/>
  <c r="I71" i="1"/>
  <c r="H71" i="1" s="1"/>
  <c r="I70" i="1"/>
  <c r="H70" i="1" s="1"/>
  <c r="E73" i="1"/>
  <c r="G73" i="1" s="1"/>
  <c r="I73" i="1"/>
  <c r="H73" i="1" s="1"/>
  <c r="M23" i="1"/>
  <c r="L26" i="1" s="1"/>
  <c r="H72" i="1" s="1"/>
  <c r="G75" i="1"/>
  <c r="G70" i="1"/>
  <c r="J68" i="1"/>
  <c r="G44" i="1"/>
  <c r="E74" i="1"/>
  <c r="G74" i="1" s="1"/>
  <c r="I74" i="1"/>
  <c r="H74" i="1" s="1"/>
  <c r="M22" i="1"/>
  <c r="H75" i="1"/>
  <c r="E72" i="1"/>
  <c r="G71" i="1"/>
  <c r="G76" i="1"/>
  <c r="H76" i="1"/>
  <c r="J70" i="1" l="1"/>
  <c r="I72" i="1"/>
  <c r="J75" i="1"/>
  <c r="L23" i="1"/>
  <c r="G72" i="1"/>
  <c r="G79" i="1" s="1"/>
  <c r="J76" i="1"/>
  <c r="J74" i="1"/>
  <c r="J73" i="1"/>
  <c r="E79" i="1"/>
  <c r="J71" i="1"/>
  <c r="J72" i="1" l="1"/>
  <c r="I79" i="1"/>
  <c r="H79" i="1"/>
  <c r="J79" i="1" s="1"/>
</calcChain>
</file>

<file path=xl/sharedStrings.xml><?xml version="1.0" encoding="utf-8"?>
<sst xmlns="http://schemas.openxmlformats.org/spreadsheetml/2006/main" count="218" uniqueCount="183">
  <si>
    <t>Projekt:</t>
  </si>
  <si>
    <t>m/s</t>
  </si>
  <si>
    <t>bar</t>
  </si>
  <si>
    <t>°C</t>
  </si>
  <si>
    <t>mm</t>
  </si>
  <si>
    <t>Eingangsnennweite:</t>
  </si>
  <si>
    <t>SAV-Nennweite:</t>
  </si>
  <si>
    <t>Ausgangsnennweite:</t>
  </si>
  <si>
    <t>Filterfläche:</t>
  </si>
  <si>
    <t>m²</t>
  </si>
  <si>
    <t>Ausgangsdruck (Istwert):</t>
  </si>
  <si>
    <t>Durchgangs-SAV</t>
  </si>
  <si>
    <t>j/n</t>
  </si>
  <si>
    <t>Bauart der SAVs</t>
  </si>
  <si>
    <t>Mindest-Eingangsdruck:</t>
  </si>
  <si>
    <t>Maximaler Eingangsdruck:</t>
  </si>
  <si>
    <t>kW</t>
  </si>
  <si>
    <t>L-Gas</t>
  </si>
  <si>
    <t>H-Gas</t>
  </si>
  <si>
    <t>G</t>
  </si>
  <si>
    <t>Druckangaben</t>
  </si>
  <si>
    <t>Vorwärmung</t>
  </si>
  <si>
    <t>Berechnung der Leistungswerte</t>
  </si>
  <si>
    <t>Filter</t>
  </si>
  <si>
    <t>vom Typenschild oder Datenblatt</t>
  </si>
  <si>
    <t>wenn Gaszähler vorhanden, bitte Zählergröße angeben, ansonsten Wert: 0</t>
  </si>
  <si>
    <t>bitte die grau hinterlegten Felder ausfüllen</t>
  </si>
  <si>
    <t>bitte die schraffierten Felder nur bei Bedarf ändern, ansonsten Vorschlagswert übernehmen</t>
  </si>
  <si>
    <t>Nennweiten</t>
  </si>
  <si>
    <t>Eingangs-Nennweite:</t>
  </si>
  <si>
    <t>Ausgangs-Nennweite:</t>
  </si>
  <si>
    <t>DN mm</t>
  </si>
  <si>
    <t>(Nennweite am Meßort für Regler- und SAV-Druckabgriff)</t>
  </si>
  <si>
    <t>somit max.  Fließgeschwindigkeit SAV</t>
  </si>
  <si>
    <t>Vorgabewerte:</t>
  </si>
  <si>
    <t>Anlagenspezifische Werte:</t>
  </si>
  <si>
    <t>Grundlage der Berechnung sind folgende Ausgangswerte:</t>
  </si>
  <si>
    <t>Rohrleitungen</t>
  </si>
  <si>
    <t>Sicherheitsabsperrventile</t>
  </si>
  <si>
    <t>Regelgerät</t>
  </si>
  <si>
    <t>Fließgeschwindigkeit im Durchgangs-SAV (ohne Strömungsumkehr): 70 m/s.</t>
  </si>
  <si>
    <t>Fließgeschwindigkeit im Umlenk-SAV (mit Strömungsumkehr): 50 m/s.</t>
  </si>
  <si>
    <t>Vorwärmer</t>
  </si>
  <si>
    <t>Für die Übertragungsverluste vom Kessel zum Vorwärmer kann ein Wirkungsgrad (i.d.R. 90 %) definiert werden.</t>
  </si>
  <si>
    <t>Gaszähler</t>
  </si>
  <si>
    <t>Fließgeschwindigkeit in der Ein-  bzw. Ausgangsleitung: 20 m/s,</t>
  </si>
  <si>
    <t>das Arbeitsblatt berechnet auf dieser Grundlage unter Berücksichtigung des minimalen Eingangsdruckes</t>
  </si>
  <si>
    <t>und des Ausgangsdruckes die maximale Leistung in Normkubikmetern / Stunde.</t>
  </si>
  <si>
    <t>die maximale Leistung in Normkubikmetern / Stunde.</t>
  </si>
  <si>
    <t>Das Arbeitsblatt berechnet auf dieser Grundlage unter Berücksichtigung des minimalen Eingangsdruckes</t>
  </si>
  <si>
    <t>Berechnungsergebnis</t>
  </si>
  <si>
    <t>Die Leistungsfähigkeit der Anlage ergibt sich aus dem minimalen Leistungswert der Einzelkomponenten.</t>
  </si>
  <si>
    <t>Zur Berechnung  der Leistungsfähigkeit der Vorwärmanlage wird die kW-Leistung des Vorwärmers,</t>
  </si>
  <si>
    <t>Liegen keine Informationen zu einem einzelnen Bauteil vor, so wird der Leistungswert "0" ausgegeben.</t>
  </si>
  <si>
    <t>Die grau unterlegten Felder müssen mit den anlagenspezifischen Werten ausgefüllt werden.</t>
  </si>
  <si>
    <t>Vorgabewert für die zulässige Flächenbelastung des Filters: 150 Betriebskubikmeter pro m² Filterfläche und Stunde.</t>
  </si>
  <si>
    <r>
      <t>v</t>
    </r>
    <r>
      <rPr>
        <vertAlign val="subscript"/>
        <sz val="13.5"/>
        <rFont val="MS Sans Serif"/>
        <family val="2"/>
      </rPr>
      <t>max</t>
    </r>
  </si>
  <si>
    <r>
      <t xml:space="preserve">Vorschlagswert gem. DVGW bzw. GDR-Hersteller: </t>
    </r>
    <r>
      <rPr>
        <b/>
        <i/>
        <sz val="10"/>
        <rFont val="MS Sans Serif"/>
        <family val="2"/>
      </rPr>
      <t>20 m/s</t>
    </r>
  </si>
  <si>
    <r>
      <t xml:space="preserve">Vorschlagswert: </t>
    </r>
    <r>
      <rPr>
        <b/>
        <i/>
        <sz val="10"/>
        <rFont val="MS Sans Serif"/>
        <family val="2"/>
      </rPr>
      <t>10%</t>
    </r>
    <r>
      <rPr>
        <i/>
        <sz val="10"/>
        <rFont val="MS Sans Serif"/>
        <family val="2"/>
      </rPr>
      <t xml:space="preserve"> nach EN 334</t>
    </r>
  </si>
  <si>
    <t>(gem. G 499)</t>
  </si>
  <si>
    <r>
      <t>°C</t>
    </r>
    <r>
      <rPr>
        <sz val="10"/>
        <rFont val="Arial"/>
        <family val="2"/>
      </rPr>
      <t>/</t>
    </r>
    <r>
      <rPr>
        <vertAlign val="subscript"/>
        <sz val="12"/>
        <rFont val="Arial"/>
        <family val="2"/>
      </rPr>
      <t>bar</t>
    </r>
  </si>
  <si>
    <r>
      <t>°C</t>
    </r>
    <r>
      <rPr>
        <i/>
        <sz val="10"/>
        <rFont val="Arial"/>
        <family val="2"/>
      </rPr>
      <t>/</t>
    </r>
    <r>
      <rPr>
        <i/>
        <vertAlign val="subscript"/>
        <sz val="12"/>
        <rFont val="Arial"/>
        <family val="2"/>
      </rPr>
      <t>bar</t>
    </r>
  </si>
  <si>
    <r>
      <t>kJ</t>
    </r>
    <r>
      <rPr>
        <sz val="10"/>
        <rFont val="Arial"/>
        <family val="2"/>
      </rPr>
      <t>/</t>
    </r>
    <r>
      <rPr>
        <vertAlign val="subscript"/>
        <sz val="12"/>
        <rFont val="Arial"/>
        <family val="2"/>
      </rPr>
      <t>(kg*K)</t>
    </r>
  </si>
  <si>
    <r>
      <t>kJ</t>
    </r>
    <r>
      <rPr>
        <i/>
        <sz val="10"/>
        <rFont val="Arial"/>
        <family val="2"/>
      </rPr>
      <t>/</t>
    </r>
    <r>
      <rPr>
        <i/>
        <vertAlign val="subscript"/>
        <sz val="12"/>
        <rFont val="Arial"/>
        <family val="2"/>
      </rPr>
      <t>(kg*K)</t>
    </r>
  </si>
  <si>
    <t>Durchgangs- oder Umlenk-SAV ?</t>
  </si>
  <si>
    <t>(alle Druckangaben als Überdruck über Atmosphärendruck)</t>
  </si>
  <si>
    <t>Die schraffierten Felder bitte nur bei Bedarf ändern, ansonsten Vorschlagswert übernehmen</t>
  </si>
  <si>
    <r>
      <t>m</t>
    </r>
    <r>
      <rPr>
        <sz val="10"/>
        <rFont val="Arial"/>
        <family val="2"/>
      </rPr>
      <t>/</t>
    </r>
    <r>
      <rPr>
        <vertAlign val="subscript"/>
        <sz val="12"/>
        <rFont val="Arial"/>
        <family val="2"/>
      </rPr>
      <t>s</t>
    </r>
  </si>
  <si>
    <r>
      <t>v</t>
    </r>
    <r>
      <rPr>
        <vertAlign val="subscript"/>
        <sz val="12"/>
        <rFont val="MS Sans Serif"/>
        <family val="2"/>
      </rPr>
      <t>max</t>
    </r>
    <r>
      <rPr>
        <sz val="10"/>
        <rFont val="MS Sans Serif"/>
        <family val="2"/>
      </rPr>
      <t>=</t>
    </r>
  </si>
  <si>
    <t>Zählergröße:</t>
  </si>
  <si>
    <t>spezifische Temperaturänderung bei der Druckreduzierung:</t>
  </si>
  <si>
    <t>spezifische Wärmekapazität des Erdgases:</t>
  </si>
  <si>
    <r>
      <t>dt</t>
    </r>
    <r>
      <rPr>
        <sz val="10"/>
        <rFont val="Arial"/>
        <family val="2"/>
      </rPr>
      <t>/</t>
    </r>
    <r>
      <rPr>
        <vertAlign val="subscript"/>
        <sz val="12"/>
        <rFont val="Arial"/>
        <family val="2"/>
      </rPr>
      <t xml:space="preserve">dp </t>
    </r>
    <r>
      <rPr>
        <sz val="10"/>
        <rFont val="Arial"/>
        <family val="2"/>
      </rPr>
      <t>=</t>
    </r>
  </si>
  <si>
    <t>cp =</t>
  </si>
  <si>
    <t>Normdichte des Erdgases =</t>
  </si>
  <si>
    <t>Gas-Eintrittstemperatur in die GDRM-Anlage =</t>
  </si>
  <si>
    <t>Gas-Austrittstemperatur aus der GDRM-Anlage =</t>
  </si>
  <si>
    <t>Filterleistung =</t>
  </si>
  <si>
    <t>ggf. müssen die Werte für L- bzw. H-Gas angepaßt werden (Vorschlagswerte siehe DVGW-Merkblatt G 499).</t>
  </si>
  <si>
    <t>Haftungsauschluß</t>
  </si>
  <si>
    <t>Haftungsansprüche aus der Verwendung sind ausgeschlossen.</t>
  </si>
  <si>
    <t>Gasqualität (L- oder H-Gas)</t>
  </si>
  <si>
    <t>Autor + ©</t>
  </si>
  <si>
    <t xml:space="preserve">© V. Ollesch </t>
  </si>
  <si>
    <t>Bedienungsanleitung</t>
  </si>
  <si>
    <t xml:space="preserve">Vorwärmerleistung = </t>
  </si>
  <si>
    <t>Leistung Vorwärmung:</t>
  </si>
  <si>
    <t xml:space="preserve"> bitte Leistung des Heizkessels angeben, Vorwärmleistung wird mit Wirkungsgrad (s.o) berechnet; ansonsten Wert: 0</t>
  </si>
  <si>
    <t>Leistung Wärmeerzeuger (Kessel) :</t>
  </si>
  <si>
    <t>% der Heizkesselleistung / Wärmeerzeugerleistung</t>
  </si>
  <si>
    <t>Für die Gas-Eintritts- und -Austrittstemperatur sind Vorschlagswerte 5°C und 2°C hinterlegt.</t>
  </si>
  <si>
    <t>die aus der Heizkesselleistung mit dem Anlagenwirkungsgrad berechnet wird.</t>
  </si>
  <si>
    <t>mit Sicherheitszuschlag :</t>
  </si>
  <si>
    <t>somit Meßdruck:</t>
  </si>
  <si>
    <t>Zählergröße und Meßort (Eingangs- oder Ausgangsdruckmessung) benötigt.</t>
  </si>
  <si>
    <t>Messung im Eingang (E) oder Ausgang (A):</t>
  </si>
  <si>
    <t>%</t>
  </si>
  <si>
    <t>Umlenk-SAV</t>
  </si>
  <si>
    <t>v max SAV=</t>
  </si>
  <si>
    <t>Vorschlagswerte</t>
  </si>
  <si>
    <t>Das Berechnungstool wird interessierten Anwendern kostenfrei vom Autor zur Verfügung gestellt.</t>
  </si>
  <si>
    <t>Weitergabe / Kopie / Modifikation sind nur mit schriftlicher Zustimmung des Autors gestattet.</t>
  </si>
  <si>
    <t>Es wird keine Gewähr für die Richtigkeit der Berechnungsergebnisse übernommen.</t>
  </si>
  <si>
    <t>Die jeweiligen Herstellerangaben sind zu beachten, ggf. die Vorgaben herstellerspezifisch ändern !</t>
  </si>
  <si>
    <t>maximale Fließgeschwindigkeit in den Rohrleitungen Eingang:</t>
  </si>
  <si>
    <t>maximale Fließgeschwindigkeit in den Rohrleitungen Ausgang:</t>
  </si>
  <si>
    <t>Die Vorgabewerte zur Fließgeschwindigkeit können für Eingangs- und Ausgangsleitung angepasst werden.</t>
  </si>
  <si>
    <t>j</t>
  </si>
  <si>
    <t>wenn Angaben zum Filter vorhanden, bitte Fläche der Filterpatronen einsetzen, ansonsten Wert: 0</t>
  </si>
  <si>
    <r>
      <t>K</t>
    </r>
    <r>
      <rPr>
        <vertAlign val="subscript"/>
        <sz val="12"/>
        <rFont val="Arial"/>
        <family val="2"/>
      </rPr>
      <t>G</t>
    </r>
  </si>
  <si>
    <r>
      <t>K</t>
    </r>
    <r>
      <rPr>
        <b/>
        <vertAlign val="subscript"/>
        <sz val="13.5"/>
        <rFont val="MS Sans Serif"/>
        <family val="2"/>
      </rPr>
      <t>G</t>
    </r>
    <r>
      <rPr>
        <b/>
        <sz val="10"/>
        <rFont val="MS Sans Serif"/>
        <family val="2"/>
      </rPr>
      <t>-Wert des Regelgerätes</t>
    </r>
  </si>
  <si>
    <r>
      <t>Sicherheitszuschlag K</t>
    </r>
    <r>
      <rPr>
        <vertAlign val="subscript"/>
        <sz val="14"/>
        <rFont val="Arial"/>
        <family val="2"/>
      </rPr>
      <t>G</t>
    </r>
    <r>
      <rPr>
        <sz val="10"/>
        <rFont val="Arial"/>
        <family val="2"/>
      </rPr>
      <t>-Wert Regler:</t>
    </r>
  </si>
  <si>
    <t>Der Leistungskennwert des Regelgerätes (KG-Wert) ist vom Typenschild bzw. aus dem Datenblatt abzulesen,</t>
  </si>
  <si>
    <t>Gaszähler bis Qmax (=1,6 * Qnenn) belasten ?</t>
  </si>
  <si>
    <t>Datum:</t>
  </si>
  <si>
    <t>Kapazitätsnachrechnung Gas- Druckregel- und Messanlage</t>
  </si>
  <si>
    <t>Messanlage</t>
  </si>
  <si>
    <t>Gas-Druckregel- und Messanlage aus den vorliegenden Anlagenwerten.</t>
  </si>
  <si>
    <t>Zur Berechnung der Leistungsfähigkeit der Gasmessanlage werden die Angaben</t>
  </si>
  <si>
    <t xml:space="preserve">Es ist festzulegen, ob der Zähler bis zum Qmax-Wert oder nur bis zum Nennwert belastet weden soll. </t>
  </si>
  <si>
    <t>Vorgabewert ist die Belaszung bis zum Nennwert.</t>
  </si>
  <si>
    <t>Gemäß EN 334 sollte noch eine Leistungsreserve berücksichtigt werden, die EN 334 empfiehlt 10%.</t>
  </si>
  <si>
    <t>Dieser Vorgabewert kann auch geändert werden.</t>
  </si>
  <si>
    <t>Auch der Druckverlust vom Eingang der GDRM bis zum Regler wird durch diesen Sicherheitszuschlag berücksichtigt.</t>
  </si>
  <si>
    <t xml:space="preserve">In einem Auswahlfeld kann festgelegt werden, ob der Zähler maximal bis 1,0 * Nennlast oder 1,6 * Nennlast </t>
  </si>
  <si>
    <t>belastet werden soll.</t>
  </si>
  <si>
    <t>Wasserstoff</t>
  </si>
  <si>
    <t>dt/dp=</t>
  </si>
  <si>
    <t>cp=</t>
  </si>
  <si>
    <t>Normdichte=</t>
  </si>
  <si>
    <t>Heizwert Ho=</t>
  </si>
  <si>
    <t>Wasserstoff-Anteil:</t>
  </si>
  <si>
    <t>°C/bar</t>
  </si>
  <si>
    <t>kJ/(kg*K)</t>
  </si>
  <si>
    <t>kg/m³</t>
  </si>
  <si>
    <t>Heizwert=</t>
  </si>
  <si>
    <t>kWh/m³</t>
  </si>
  <si>
    <t>100 % Erdgas</t>
  </si>
  <si>
    <t>entspricht</t>
  </si>
  <si>
    <t>H2-ready</t>
  </si>
  <si>
    <t>#F6FECE</t>
  </si>
  <si>
    <r>
      <t>K</t>
    </r>
    <r>
      <rPr>
        <vertAlign val="subscript"/>
        <sz val="12"/>
        <rFont val="Bahnschrift"/>
        <family val="2"/>
      </rPr>
      <t>G</t>
    </r>
    <r>
      <rPr>
        <sz val="12"/>
        <rFont val="Bahnschrift"/>
        <family val="2"/>
      </rPr>
      <t>-Wert Regelgerät:</t>
    </r>
  </si>
  <si>
    <t>Kontrollwert</t>
  </si>
  <si>
    <t>Bestimmende Größe für die Anlagen-Kapazität</t>
  </si>
  <si>
    <t xml:space="preserve"> somit minimaler Leistungswert:</t>
  </si>
  <si>
    <t>(entspricht i.d.R. Mindesteingangsdruck lt. Netzkopplungsvertrag)</t>
  </si>
  <si>
    <t>Opu, min</t>
  </si>
  <si>
    <t>Opu, max</t>
  </si>
  <si>
    <t>Opd</t>
  </si>
  <si>
    <t>Bearbeiter/in</t>
  </si>
  <si>
    <t xml:space="preserve">somit Druckverhältnis  </t>
  </si>
  <si>
    <r>
      <rPr>
        <b/>
        <vertAlign val="superscript"/>
        <sz val="12"/>
        <rFont val="MS Sans Serif"/>
      </rPr>
      <t xml:space="preserve"> OPd</t>
    </r>
    <r>
      <rPr>
        <b/>
        <sz val="12"/>
        <rFont val="MS Sans Serif"/>
      </rPr>
      <t>/</t>
    </r>
    <r>
      <rPr>
        <b/>
        <vertAlign val="subscript"/>
        <sz val="12"/>
        <rFont val="MS Sans Serif"/>
      </rPr>
      <t>OPu,min</t>
    </r>
    <r>
      <rPr>
        <b/>
        <sz val="12"/>
        <rFont val="MS Sans Serif"/>
      </rPr>
      <t>=</t>
    </r>
  </si>
  <si>
    <r>
      <t>kWh</t>
    </r>
    <r>
      <rPr>
        <i/>
        <sz val="12"/>
        <rFont val="Arial"/>
        <family val="2"/>
      </rPr>
      <t>/</t>
    </r>
    <r>
      <rPr>
        <i/>
        <vertAlign val="subscript"/>
        <sz val="12"/>
        <rFont val="Arial"/>
        <family val="2"/>
      </rPr>
      <t>m³Vn</t>
    </r>
  </si>
  <si>
    <r>
      <t>kg</t>
    </r>
    <r>
      <rPr>
        <i/>
        <sz val="12"/>
        <rFont val="Arial"/>
        <family val="2"/>
      </rPr>
      <t>/</t>
    </r>
    <r>
      <rPr>
        <i/>
        <vertAlign val="subscript"/>
        <sz val="12"/>
        <rFont val="Arial"/>
        <family val="2"/>
      </rPr>
      <t>m³Vn</t>
    </r>
  </si>
  <si>
    <r>
      <t>m³Vb</t>
    </r>
    <r>
      <rPr>
        <sz val="10"/>
        <rFont val="MS Sans Serif"/>
        <family val="2"/>
      </rPr>
      <t>/h pro m² Filterfläche</t>
    </r>
  </si>
  <si>
    <t xml:space="preserve">Das Excel-Arbeitsblatt "GDRkap_H2" berechnet die Leistungsfähigkeit einer vorhandenen </t>
  </si>
  <si>
    <t>Die mögliche Zumischung von Wasserstoff kann prozentual berücksichtigt werden.</t>
  </si>
  <si>
    <t>Die hellgrün hinterlegten Felder definieren die Wasserstoff-spezifischen Kennwerte</t>
  </si>
  <si>
    <t>In Bezug auf die Anlagenleistung Erfolgt die Definition des Leistungswertes in [MW].</t>
  </si>
  <si>
    <t>Während bisher in [m³Vn/h] gerechnet wurde wird bei H2-Beimischung die Anlagenleistung in</t>
  </si>
  <si>
    <t>m³-Werte werden nur noch zur Info  parallel berechnet.</t>
  </si>
  <si>
    <t>Volker Ollesch, Bielefeld</t>
  </si>
  <si>
    <t>Stoffwerte</t>
  </si>
  <si>
    <t>in Abhängigkeit von der H2-Beimischung linear interpoliert.</t>
  </si>
  <si>
    <t>Wasserstoff hat einen negativen Joule-Thomsen-Koeffizienten.</t>
  </si>
  <si>
    <t>Es ist auch möglich, Vorwärmanlagen bei deltaP kleiner/gleich 16 bar zu berechnen.</t>
  </si>
  <si>
    <t>Es wird jetzt immer auch die Ausgangstemperatur angegeben, die sich ohne Vorwärmung ergeben würde.</t>
  </si>
  <si>
    <t xml:space="preserve">Die spezifische Wärmekapazität cp und die spezifische Temperaturänderung ∆t/∆p sind Vorschlagswerte hinterlegt, </t>
  </si>
  <si>
    <t xml:space="preserve">[MW] definiert, damit die Leistung ohne und mit H2-Beimischung vergleichbar ist. </t>
  </si>
  <si>
    <t>GDRkap_H2</t>
  </si>
  <si>
    <t>Die Stoffwerte CeH4/Erdgas und H2 werden in den Berechnungstools</t>
  </si>
  <si>
    <t>E</t>
  </si>
  <si>
    <t xml:space="preserve"> Energieinhalt Mischgas zu Erdgas:</t>
  </si>
  <si>
    <t>Kennwerte Mischgas:</t>
  </si>
  <si>
    <t>relative Dichte=</t>
  </si>
  <si>
    <t xml:space="preserve"> Korrekturfaktor KG-Wert:</t>
  </si>
  <si>
    <t>Ab einer Beimischung von ca. 90% H2 zum Erdgas wird  keine Vorwärmung mehr benötigt.</t>
  </si>
  <si>
    <t>Massen-%:</t>
  </si>
  <si>
    <t>H</t>
  </si>
  <si>
    <r>
      <t>GDRkap_H2_</t>
    </r>
    <r>
      <rPr>
        <b/>
        <sz val="12"/>
        <rFont val="Arial"/>
        <family val="2"/>
      </rPr>
      <t>beta04</t>
    </r>
  </si>
  <si>
    <t>n</t>
  </si>
  <si>
    <t>Musteranlage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</si>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</sst>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0.000"/>
    <numFmt numFmtId="166" formatCode="0.0"/>
    <numFmt numFmtId="167" formatCode="0\ &quot;m³/h&quot;"/>
    <numFmt numFmtId="168" formatCode="0\ &quot;m³/h Vn&quot;"/>
    <numFmt numFmtId="169" formatCode="#,##0\ &quot;m³ Vn/h&quot;"/>
    <numFmt numFmtId="170" formatCode="&quot;somit&quot;\ 0.0\ &quot;faches der Zähler-Nennbelastung als Maximalbelastung&quot;\ "/>
    <numFmt numFmtId="171" formatCode="0.0\ \V\o\l%"/>
    <numFmt numFmtId="172" formatCode="0.0&quot; %thermisch&quot;"/>
    <numFmt numFmtId="173" formatCode="#,##0.000"/>
    <numFmt numFmtId="174" formatCode="0.0\ &quot;Vol.% H2&quot;"/>
    <numFmt numFmtId="175" formatCode="#,##0\ &quot;kW&quot;"/>
    <numFmt numFmtId="176" formatCode="0.0\ &quot;Vol.% H2 zu&quot;"/>
    <numFmt numFmtId="177" formatCode="0.00\ &quot;MW&quot;"/>
    <numFmt numFmtId="178" formatCode="#0.00\ &quot;MW&quot;"/>
    <numFmt numFmtId="179" formatCode="0.0\ &quot;% Erdgas&quot;"/>
    <numFmt numFmtId="180" formatCode="0.00000000"/>
    <numFmt numFmtId="181" formatCode="0.0\ &quot;% H2&quot;"/>
  </numFmts>
  <fonts count="6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i/>
      <sz val="10"/>
      <name val="MS Sans Serif"/>
      <family val="2"/>
    </font>
    <font>
      <b/>
      <sz val="12"/>
      <name val="MS Sans Serif"/>
      <family val="2"/>
    </font>
    <font>
      <sz val="12"/>
      <name val="Lucida Console"/>
      <family val="3"/>
    </font>
    <font>
      <sz val="8.5"/>
      <name val="Lucida Console"/>
      <family val="3"/>
    </font>
    <font>
      <sz val="8.5"/>
      <name val="MS Sans Serif"/>
      <family val="2"/>
    </font>
    <font>
      <sz val="7"/>
      <name val="Small Fonts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i/>
      <sz val="10"/>
      <name val="MS Sans Serif"/>
      <family val="2"/>
    </font>
    <font>
      <b/>
      <i/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vertAlign val="subscript"/>
      <sz val="13.5"/>
      <name val="MS Sans Serif"/>
      <family val="2"/>
    </font>
    <font>
      <b/>
      <u/>
      <sz val="12"/>
      <name val="MS Sans Serif"/>
      <family val="2"/>
    </font>
    <font>
      <sz val="12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MS Sans Serif"/>
      <family val="2"/>
    </font>
    <font>
      <sz val="9"/>
      <name val="Arial"/>
      <family val="2"/>
    </font>
    <font>
      <vertAlign val="subscript"/>
      <sz val="14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i/>
      <vertAlign val="superscript"/>
      <sz val="12"/>
      <name val="Arial"/>
      <family val="2"/>
    </font>
    <font>
      <i/>
      <sz val="10"/>
      <name val="Arial"/>
      <family val="2"/>
    </font>
    <font>
      <i/>
      <vertAlign val="subscript"/>
      <sz val="12"/>
      <name val="Arial"/>
      <family val="2"/>
    </font>
    <font>
      <vertAlign val="superscript"/>
      <sz val="12"/>
      <name val="MS Sans Serif"/>
      <family val="2"/>
    </font>
    <font>
      <sz val="10"/>
      <name val="Arial"/>
      <family val="2"/>
    </font>
    <font>
      <sz val="8.5"/>
      <name val="MS Sans Serif"/>
      <family val="2"/>
    </font>
    <font>
      <b/>
      <vertAlign val="subscript"/>
      <sz val="13.5"/>
      <name val="MS Sans Serif"/>
      <family val="2"/>
    </font>
    <font>
      <b/>
      <sz val="13.5"/>
      <color indexed="59"/>
      <name val="MS Sans Serif"/>
      <family val="2"/>
    </font>
    <font>
      <sz val="10"/>
      <color indexed="63"/>
      <name val="Arial"/>
      <family val="2"/>
    </font>
    <font>
      <i/>
      <sz val="10"/>
      <color indexed="63"/>
      <name val="MS Sans Serif"/>
      <family val="2"/>
    </font>
    <font>
      <b/>
      <u/>
      <sz val="13.5"/>
      <name val="MS Sans Serif"/>
      <family val="2"/>
    </font>
    <font>
      <vertAlign val="superscript"/>
      <sz val="10"/>
      <name val="MS Sans Serif"/>
      <family val="2"/>
    </font>
    <font>
      <i/>
      <sz val="10"/>
      <name val="MS Sans Serif"/>
    </font>
    <font>
      <b/>
      <sz val="10"/>
      <name val="MS Sans Serif"/>
    </font>
    <font>
      <sz val="8"/>
      <name val="MS Sans Serif"/>
    </font>
    <font>
      <sz val="11"/>
      <name val="Bahnschrift"/>
      <family val="2"/>
    </font>
    <font>
      <b/>
      <sz val="12"/>
      <name val="Bahnschrift"/>
      <family val="2"/>
    </font>
    <font>
      <b/>
      <u/>
      <sz val="12"/>
      <name val="Bahnschrift"/>
      <family val="2"/>
    </font>
    <font>
      <sz val="12"/>
      <name val="Bahnschrift"/>
      <family val="2"/>
    </font>
    <font>
      <vertAlign val="subscript"/>
      <sz val="12"/>
      <name val="Bahnschrift"/>
      <family val="2"/>
    </font>
    <font>
      <vertAlign val="superscript"/>
      <sz val="12"/>
      <name val="Bahnschrift"/>
      <family val="2"/>
    </font>
    <font>
      <b/>
      <sz val="10"/>
      <name val="Arial"/>
      <family val="2"/>
    </font>
    <font>
      <sz val="10"/>
      <name val="Bahnschrift"/>
      <family val="2"/>
    </font>
    <font>
      <b/>
      <u/>
      <sz val="10"/>
      <name val="Bahnschrift"/>
      <family val="2"/>
    </font>
    <font>
      <sz val="10"/>
      <name val="MS Sans Serif"/>
    </font>
    <font>
      <b/>
      <sz val="12"/>
      <name val="MS Sans Serif"/>
    </font>
    <font>
      <b/>
      <vertAlign val="superscript"/>
      <sz val="12"/>
      <name val="MS Sans Serif"/>
    </font>
    <font>
      <b/>
      <vertAlign val="subscript"/>
      <sz val="12"/>
      <name val="MS Sans Serif"/>
    </font>
    <font>
      <i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name val="Abadi"/>
      <family val="2"/>
    </font>
    <font>
      <sz val="9"/>
      <color theme="1"/>
      <name val="Bahnschrift"/>
      <family val="2"/>
    </font>
    <font>
      <b/>
      <u/>
      <sz val="11"/>
      <color theme="1"/>
      <name val="Bahnschrift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2"/>
      <color theme="1"/>
      <name val="Bahnschrift"/>
      <family val="2"/>
    </font>
    <font>
      <sz val="10"/>
      <color theme="1"/>
      <name val="Bahnschrift"/>
      <family val="2"/>
    </font>
    <font>
      <sz val="9"/>
      <color theme="1" tint="0.249977111117893"/>
      <name val="Arial"/>
      <family val="2"/>
    </font>
    <font>
      <sz val="10"/>
      <color rgb="FFC00000"/>
      <name val="Arial"/>
      <family val="2"/>
    </font>
    <font>
      <b/>
      <sz val="9"/>
      <name val="Bahnschrift"/>
      <family val="2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gray0625">
        <fgColor indexed="47"/>
        <bgColor indexed="9"/>
      </patternFill>
    </fill>
    <fill>
      <patternFill patternType="solid">
        <fgColor rgb="FFF6FECE"/>
        <bgColor indexed="64"/>
      </patternFill>
    </fill>
    <fill>
      <patternFill patternType="gray0625">
        <fgColor indexed="22"/>
        <bgColor rgb="FFF6FECE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9" fontId="10" fillId="2" borderId="1" xfId="2" applyFont="1" applyFill="1" applyBorder="1" applyAlignment="1" applyProtection="1">
      <protection hidden="1"/>
    </xf>
    <xf numFmtId="9" fontId="10" fillId="2" borderId="2" xfId="2" applyFont="1" applyFill="1" applyBorder="1" applyAlignment="1" applyProtection="1">
      <protection hidden="1"/>
    </xf>
    <xf numFmtId="9" fontId="10" fillId="2" borderId="3" xfId="2" applyFont="1" applyFill="1" applyBorder="1" applyAlignment="1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167" fontId="0" fillId="0" borderId="0" xfId="0" applyNumberFormat="1" applyAlignment="1" applyProtection="1">
      <alignment horizontal="right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7" fontId="0" fillId="0" borderId="0" xfId="0" applyNumberForma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9" fontId="2" fillId="0" borderId="0" xfId="2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right"/>
      <protection hidden="1"/>
    </xf>
    <xf numFmtId="2" fontId="10" fillId="3" borderId="4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2" fillId="0" borderId="0" xfId="0" applyFont="1" applyProtection="1">
      <protection hidden="1"/>
    </xf>
    <xf numFmtId="2" fontId="10" fillId="3" borderId="4" xfId="0" applyNumberFormat="1" applyFont="1" applyFill="1" applyBorder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31" fillId="0" borderId="0" xfId="0" applyFont="1" applyAlignment="1" applyProtection="1">
      <alignment horizontal="left"/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4" fillId="0" borderId="0" xfId="0" applyFont="1" applyProtection="1">
      <protection hidden="1"/>
    </xf>
    <xf numFmtId="164" fontId="0" fillId="0" borderId="0" xfId="1" applyFont="1" applyProtection="1">
      <protection hidden="1"/>
    </xf>
    <xf numFmtId="0" fontId="13" fillId="0" borderId="0" xfId="0" applyFont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left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9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right"/>
      <protection hidden="1"/>
    </xf>
    <xf numFmtId="168" fontId="16" fillId="0" borderId="0" xfId="0" applyNumberFormat="1" applyFont="1" applyProtection="1">
      <protection hidden="1"/>
    </xf>
    <xf numFmtId="168" fontId="17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left"/>
      <protection hidden="1"/>
    </xf>
    <xf numFmtId="9" fontId="0" fillId="0" borderId="0" xfId="0" applyNumberForma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right"/>
      <protection hidden="1"/>
    </xf>
    <xf numFmtId="3" fontId="2" fillId="0" borderId="0" xfId="1" applyNumberFormat="1" applyFont="1" applyAlignment="1" applyProtection="1">
      <alignment horizontal="center"/>
      <protection hidden="1"/>
    </xf>
    <xf numFmtId="1" fontId="10" fillId="3" borderId="4" xfId="0" applyNumberFormat="1" applyFont="1" applyFill="1" applyBorder="1" applyProtection="1"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38" fillId="6" borderId="0" xfId="0" applyFont="1" applyFill="1" applyAlignment="1" applyProtection="1">
      <alignment horizontal="right"/>
      <protection hidden="1"/>
    </xf>
    <xf numFmtId="165" fontId="39" fillId="7" borderId="4" xfId="0" applyNumberFormat="1" applyFont="1" applyFill="1" applyBorder="1" applyProtection="1">
      <protection locked="0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alignment horizontal="right"/>
      <protection hidden="1"/>
    </xf>
    <xf numFmtId="0" fontId="40" fillId="6" borderId="7" xfId="0" applyFont="1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39" fillId="6" borderId="8" xfId="0" applyFont="1" applyFill="1" applyBorder="1" applyAlignment="1" applyProtection="1">
      <alignment horizontal="right"/>
      <protection hidden="1"/>
    </xf>
    <xf numFmtId="0" fontId="0" fillId="6" borderId="7" xfId="0" applyFill="1" applyBorder="1" applyAlignment="1" applyProtection="1">
      <alignment horizontal="right"/>
      <protection hidden="1"/>
    </xf>
    <xf numFmtId="165" fontId="10" fillId="6" borderId="0" xfId="0" applyNumberFormat="1" applyFont="1" applyFill="1" applyAlignment="1" applyProtection="1">
      <alignment horizontal="right"/>
      <protection hidden="1"/>
    </xf>
    <xf numFmtId="0" fontId="0" fillId="6" borderId="8" xfId="0" applyFill="1" applyBorder="1" applyProtection="1">
      <protection hidden="1"/>
    </xf>
    <xf numFmtId="0" fontId="0" fillId="6" borderId="8" xfId="0" applyFill="1" applyBorder="1" applyAlignment="1" applyProtection="1">
      <alignment horizontal="left"/>
      <protection hidden="1"/>
    </xf>
    <xf numFmtId="173" fontId="10" fillId="6" borderId="8" xfId="1" applyNumberFormat="1" applyFont="1" applyFill="1" applyBorder="1" applyAlignment="1" applyProtection="1">
      <alignment horizontal="center"/>
      <protection hidden="1"/>
    </xf>
    <xf numFmtId="0" fontId="0" fillId="6" borderId="9" xfId="0" applyFill="1" applyBorder="1" applyAlignment="1" applyProtection="1">
      <alignment horizontal="center"/>
      <protection hidden="1"/>
    </xf>
    <xf numFmtId="175" fontId="41" fillId="0" borderId="0" xfId="1" applyNumberFormat="1" applyFont="1" applyAlignment="1" applyProtection="1">
      <alignment horizontal="center"/>
      <protection hidden="1"/>
    </xf>
    <xf numFmtId="9" fontId="0" fillId="0" borderId="0" xfId="2" applyFont="1" applyProtection="1">
      <protection hidden="1"/>
    </xf>
    <xf numFmtId="169" fontId="36" fillId="0" borderId="0" xfId="0" applyNumberFormat="1" applyFont="1" applyAlignment="1" applyProtection="1">
      <alignment horizontal="right"/>
      <protection hidden="1"/>
    </xf>
    <xf numFmtId="0" fontId="42" fillId="6" borderId="0" xfId="0" applyFont="1" applyFill="1" applyProtection="1">
      <protection hidden="1"/>
    </xf>
    <xf numFmtId="0" fontId="30" fillId="0" borderId="0" xfId="0" applyFont="1" applyProtection="1">
      <protection hidden="1"/>
    </xf>
    <xf numFmtId="0" fontId="43" fillId="0" borderId="0" xfId="0" applyFont="1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horizontal="center"/>
      <protection hidden="1"/>
    </xf>
    <xf numFmtId="0" fontId="44" fillId="0" borderId="0" xfId="0" applyFont="1" applyAlignment="1" applyProtection="1">
      <alignment horizontal="right"/>
      <protection hidden="1"/>
    </xf>
    <xf numFmtId="2" fontId="44" fillId="0" borderId="0" xfId="0" applyNumberFormat="1" applyFont="1" applyAlignment="1" applyProtection="1">
      <alignment horizontal="center"/>
      <protection hidden="1"/>
    </xf>
    <xf numFmtId="166" fontId="44" fillId="0" borderId="0" xfId="0" applyNumberFormat="1" applyFont="1" applyAlignment="1" applyProtection="1">
      <alignment horizontal="center"/>
      <protection hidden="1"/>
    </xf>
    <xf numFmtId="0" fontId="46" fillId="0" borderId="0" xfId="0" applyFont="1" applyAlignment="1" applyProtection="1">
      <alignment horizontal="center"/>
      <protection hidden="1"/>
    </xf>
    <xf numFmtId="3" fontId="44" fillId="0" borderId="0" xfId="0" applyNumberFormat="1" applyFont="1" applyAlignment="1" applyProtection="1">
      <alignment horizontal="center"/>
      <protection hidden="1"/>
    </xf>
    <xf numFmtId="1" fontId="44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right"/>
      <protection hidden="1"/>
    </xf>
    <xf numFmtId="169" fontId="58" fillId="6" borderId="0" xfId="0" applyNumberFormat="1" applyFont="1" applyFill="1" applyAlignment="1" applyProtection="1">
      <alignment horizontal="right"/>
      <protection hidden="1"/>
    </xf>
    <xf numFmtId="9" fontId="22" fillId="6" borderId="0" xfId="2" applyFont="1" applyFill="1" applyAlignment="1" applyProtection="1">
      <alignment horizontal="center"/>
      <protection hidden="1"/>
    </xf>
    <xf numFmtId="174" fontId="39" fillId="6" borderId="0" xfId="0" applyNumberFormat="1" applyFont="1" applyFill="1" applyAlignment="1" applyProtection="1">
      <alignment horizontal="center"/>
      <protection hidden="1"/>
    </xf>
    <xf numFmtId="0" fontId="30" fillId="6" borderId="0" xfId="0" applyFont="1" applyFill="1" applyAlignment="1" applyProtection="1">
      <alignment horizontal="center"/>
      <protection hidden="1"/>
    </xf>
    <xf numFmtId="176" fontId="30" fillId="6" borderId="0" xfId="0" applyNumberFormat="1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50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right"/>
      <protection hidden="1"/>
    </xf>
    <xf numFmtId="169" fontId="49" fillId="6" borderId="0" xfId="0" applyNumberFormat="1" applyFont="1" applyFill="1" applyAlignment="1" applyProtection="1">
      <alignment horizontal="center"/>
      <protection hidden="1"/>
    </xf>
    <xf numFmtId="177" fontId="59" fillId="0" borderId="0" xfId="1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left" wrapText="1"/>
      <protection hidden="1"/>
    </xf>
    <xf numFmtId="0" fontId="38" fillId="6" borderId="2" xfId="0" applyFont="1" applyFill="1" applyBorder="1" applyAlignment="1" applyProtection="1">
      <alignment horizontal="left"/>
      <protection hidden="1"/>
    </xf>
    <xf numFmtId="0" fontId="38" fillId="6" borderId="3" xfId="0" applyFont="1" applyFill="1" applyBorder="1" applyAlignment="1" applyProtection="1">
      <alignment horizontal="left"/>
      <protection hidden="1"/>
    </xf>
    <xf numFmtId="0" fontId="55" fillId="0" borderId="0" xfId="0" applyFont="1" applyProtection="1">
      <protection hidden="1"/>
    </xf>
    <xf numFmtId="0" fontId="47" fillId="0" borderId="0" xfId="0" applyFont="1" applyProtection="1">
      <protection hidden="1"/>
    </xf>
    <xf numFmtId="0" fontId="30" fillId="4" borderId="1" xfId="0" applyFont="1" applyFill="1" applyBorder="1" applyProtection="1">
      <protection hidden="1"/>
    </xf>
    <xf numFmtId="0" fontId="30" fillId="4" borderId="1" xfId="0" applyFont="1" applyFill="1" applyBorder="1" applyAlignment="1" applyProtection="1">
      <alignment horizontal="left"/>
      <protection hidden="1"/>
    </xf>
    <xf numFmtId="0" fontId="30" fillId="5" borderId="1" xfId="0" applyFont="1" applyFill="1" applyBorder="1" applyAlignment="1" applyProtection="1">
      <alignment horizontal="left"/>
      <protection hidden="1"/>
    </xf>
    <xf numFmtId="0" fontId="30" fillId="0" borderId="2" xfId="0" applyFont="1" applyBorder="1" applyProtection="1">
      <protection hidden="1"/>
    </xf>
    <xf numFmtId="0" fontId="30" fillId="0" borderId="3" xfId="0" applyFont="1" applyBorder="1" applyProtection="1">
      <protection hidden="1"/>
    </xf>
    <xf numFmtId="0" fontId="56" fillId="0" borderId="0" xfId="0" applyFont="1" applyProtection="1">
      <protection hidden="1"/>
    </xf>
    <xf numFmtId="9" fontId="30" fillId="0" borderId="0" xfId="2" applyFont="1" applyProtection="1">
      <protection hidden="1"/>
    </xf>
    <xf numFmtId="0" fontId="30" fillId="6" borderId="1" xfId="0" applyFont="1" applyFill="1" applyBorder="1" applyAlignment="1" applyProtection="1">
      <alignment horizontal="left"/>
      <protection hidden="1"/>
    </xf>
    <xf numFmtId="0" fontId="30" fillId="4" borderId="3" xfId="0" applyFont="1" applyFill="1" applyBorder="1" applyAlignment="1" applyProtection="1">
      <alignment horizontal="left"/>
      <protection hidden="1"/>
    </xf>
    <xf numFmtId="0" fontId="60" fillId="0" borderId="0" xfId="0" applyFont="1" applyProtection="1">
      <protection hidden="1"/>
    </xf>
    <xf numFmtId="0" fontId="61" fillId="0" borderId="0" xfId="0" applyFont="1" applyProtection="1">
      <protection hidden="1"/>
    </xf>
    <xf numFmtId="4" fontId="10" fillId="6" borderId="10" xfId="1" applyNumberFormat="1" applyFont="1" applyFill="1" applyBorder="1" applyAlignment="1" applyProtection="1">
      <alignment horizontal="center"/>
      <protection hidden="1"/>
    </xf>
    <xf numFmtId="178" fontId="43" fillId="6" borderId="0" xfId="1" applyNumberFormat="1" applyFont="1" applyFill="1" applyAlignment="1" applyProtection="1">
      <alignment horizontal="center"/>
      <protection hidden="1"/>
    </xf>
    <xf numFmtId="178" fontId="42" fillId="6" borderId="0" xfId="1" applyNumberFormat="1" applyFont="1" applyFill="1" applyAlignment="1" applyProtection="1">
      <alignment horizontal="right"/>
      <protection hidden="1"/>
    </xf>
    <xf numFmtId="177" fontId="62" fillId="0" borderId="0" xfId="1" applyNumberFormat="1" applyFont="1" applyAlignment="1" applyProtection="1">
      <alignment horizontal="right"/>
      <protection hidden="1"/>
    </xf>
    <xf numFmtId="1" fontId="10" fillId="2" borderId="4" xfId="0" applyNumberFormat="1" applyFont="1" applyFill="1" applyBorder="1" applyProtection="1">
      <protection locked="0"/>
    </xf>
    <xf numFmtId="3" fontId="10" fillId="2" borderId="4" xfId="2" applyNumberFormat="1" applyFont="1" applyFill="1" applyBorder="1" applyProtection="1">
      <protection locked="0"/>
    </xf>
    <xf numFmtId="3" fontId="10" fillId="2" borderId="4" xfId="2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71" fontId="39" fillId="8" borderId="11" xfId="2" applyNumberFormat="1" applyFont="1" applyFill="1" applyBorder="1" applyAlignment="1" applyProtection="1">
      <alignment horizontal="center"/>
      <protection locked="0"/>
    </xf>
    <xf numFmtId="166" fontId="10" fillId="2" borderId="4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5" fontId="2" fillId="4" borderId="4" xfId="0" applyNumberFormat="1" applyFont="1" applyFill="1" applyBorder="1" applyAlignment="1" applyProtection="1">
      <alignment horizontal="center"/>
      <protection locked="0"/>
    </xf>
    <xf numFmtId="3" fontId="2" fillId="4" borderId="4" xfId="1" applyNumberFormat="1" applyFont="1" applyFill="1" applyBorder="1" applyAlignment="1" applyProtection="1">
      <alignment horizontal="center"/>
      <protection locked="0"/>
    </xf>
    <xf numFmtId="49" fontId="2" fillId="4" borderId="4" xfId="1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166" fontId="2" fillId="4" borderId="4" xfId="0" applyNumberFormat="1" applyFont="1" applyFill="1" applyBorder="1" applyAlignment="1" applyProtection="1">
      <alignment horizontal="center"/>
      <protection locked="0"/>
    </xf>
    <xf numFmtId="0" fontId="30" fillId="6" borderId="0" xfId="0" applyFont="1" applyFill="1" applyAlignment="1" applyProtection="1">
      <alignment horizontal="right"/>
      <protection hidden="1"/>
    </xf>
    <xf numFmtId="0" fontId="30" fillId="6" borderId="12" xfId="0" applyFont="1" applyFill="1" applyBorder="1" applyAlignment="1" applyProtection="1">
      <alignment horizontal="right"/>
      <protection hidden="1"/>
    </xf>
    <xf numFmtId="0" fontId="57" fillId="6" borderId="0" xfId="0" applyFont="1" applyFill="1" applyAlignment="1" applyProtection="1">
      <alignment horizontal="right"/>
      <protection hidden="1"/>
    </xf>
    <xf numFmtId="0" fontId="39" fillId="6" borderId="0" xfId="0" applyFont="1" applyFill="1" applyAlignment="1" applyProtection="1">
      <alignment horizontal="right"/>
      <protection hidden="1"/>
    </xf>
    <xf numFmtId="0" fontId="64" fillId="6" borderId="7" xfId="0" applyFont="1" applyFill="1" applyBorder="1" applyAlignment="1" applyProtection="1">
      <alignment horizontal="right"/>
      <protection hidden="1"/>
    </xf>
    <xf numFmtId="179" fontId="64" fillId="6" borderId="0" xfId="0" applyNumberFormat="1" applyFont="1" applyFill="1" applyAlignment="1" applyProtection="1">
      <alignment horizontal="right"/>
      <protection hidden="1"/>
    </xf>
    <xf numFmtId="0" fontId="65" fillId="0" borderId="0" xfId="0" applyFont="1" applyProtection="1">
      <protection hidden="1"/>
    </xf>
    <xf numFmtId="180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181" fontId="64" fillId="6" borderId="8" xfId="0" applyNumberFormat="1" applyFont="1" applyFill="1" applyBorder="1" applyAlignment="1" applyProtection="1">
      <alignment horizontal="center"/>
      <protection hidden="1"/>
    </xf>
    <xf numFmtId="172" fontId="66" fillId="6" borderId="8" xfId="2" applyNumberFormat="1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/>
      <protection hidden="1"/>
    </xf>
    <xf numFmtId="0" fontId="33" fillId="4" borderId="1" xfId="0" applyFont="1" applyFill="1" applyBorder="1" applyAlignment="1" applyProtection="1">
      <alignment horizontal="center"/>
      <protection locked="0"/>
    </xf>
    <xf numFmtId="0" fontId="33" fillId="4" borderId="2" xfId="0" applyFont="1" applyFill="1" applyBorder="1" applyAlignment="1" applyProtection="1">
      <alignment horizontal="center"/>
      <protection locked="0"/>
    </xf>
    <xf numFmtId="0" fontId="33" fillId="4" borderId="3" xfId="0" applyFont="1" applyFill="1" applyBorder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170" fontId="11" fillId="0" borderId="0" xfId="0" applyNumberFormat="1" applyFont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9" fontId="43" fillId="0" borderId="0" xfId="0" applyNumberFormat="1" applyFont="1" applyProtection="1">
      <protection hidden="1"/>
    </xf>
    <xf numFmtId="0" fontId="44" fillId="0" borderId="0" xfId="0" applyFont="1" applyProtection="1">
      <protection hidden="1"/>
    </xf>
    <xf numFmtId="169" fontId="63" fillId="0" borderId="0" xfId="0" applyNumberFormat="1" applyFont="1" applyAlignment="1" applyProtection="1">
      <alignment horizontal="right"/>
      <protection hidden="1"/>
    </xf>
    <xf numFmtId="0" fontId="63" fillId="0" borderId="0" xfId="0" applyFont="1" applyAlignment="1" applyProtection="1">
      <alignment horizontal="right"/>
      <protection hidden="1"/>
    </xf>
    <xf numFmtId="169" fontId="48" fillId="0" borderId="0" xfId="0" applyNumberFormat="1" applyFont="1" applyAlignment="1" applyProtection="1">
      <alignment horizontal="right"/>
      <protection hidden="1"/>
    </xf>
    <xf numFmtId="0" fontId="48" fillId="0" borderId="0" xfId="0" applyFont="1" applyAlignment="1" applyProtection="1">
      <alignment horizontal="right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0" xfId="0" applyFont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Übersicht Leistungswerte [MW]</a:t>
            </a:r>
          </a:p>
        </c:rich>
      </c:tx>
      <c:layout>
        <c:manualLayout>
          <c:xMode val="edge"/>
          <c:yMode val="edge"/>
          <c:x val="1.1934908136482941E-2"/>
          <c:y val="0.93268595704265578"/>
        </c:manualLayout>
      </c:layout>
      <c:overlay val="1"/>
      <c:spPr>
        <a:gradFill flip="none" rotWithShape="1">
          <a:gsLst>
            <a:gs pos="84000">
              <a:schemeClr val="bg1">
                <a:lumMod val="85000"/>
              </a:schemeClr>
            </a:gs>
            <a:gs pos="1000">
              <a:srgbClr val="F6FECE"/>
            </a:gs>
          </a:gsLst>
          <a:path path="circle">
            <a:fillToRect l="100000" t="100000"/>
          </a:path>
          <a:tileRect r="-100000" b="-100000"/>
        </a:gra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537121954004611"/>
          <c:y val="1.304595748629447E-2"/>
          <c:w val="0.8157205240174672"/>
          <c:h val="0.86430927448975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Anlagenberechnung!$G$69</c:f>
              <c:strCache>
                <c:ptCount val="1"/>
                <c:pt idx="0">
                  <c:v>100 % Erdgas</c:v>
                </c:pt>
              </c:strCache>
            </c:strRef>
          </c:tx>
          <c:spPr>
            <a:solidFill>
              <a:srgbClr val="EAEAEA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numFmt formatCode="0.00" sourceLinked="0"/>
              <c:spPr>
                <a:solidFill>
                  <a:schemeClr val="bg1">
                    <a:lumMod val="95000"/>
                  </a:schemeClr>
                </a:solidFill>
                <a:ln w="9525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54-4050-8F26-A160F2FB3B77}"/>
                </c:ext>
              </c:extLst>
            </c:dLbl>
            <c:numFmt formatCode="0.00" sourceLinked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Anlagenberechnung!$B$70:$B$76</c:f>
              <c:strCache>
                <c:ptCount val="7"/>
                <c:pt idx="0">
                  <c:v>Eingangsnennweite:</c:v>
                </c:pt>
                <c:pt idx="1">
                  <c:v>Filterfläche:</c:v>
                </c:pt>
                <c:pt idx="2">
                  <c:v>Leistung Vorwärmung:</c:v>
                </c:pt>
                <c:pt idx="3">
                  <c:v>SAV-Nennweite:</c:v>
                </c:pt>
                <c:pt idx="4">
                  <c:v>KG-Wert Regelgerät:</c:v>
                </c:pt>
                <c:pt idx="5">
                  <c:v>Ausgangsnennweite:</c:v>
                </c:pt>
                <c:pt idx="6">
                  <c:v>Zählergröße:</c:v>
                </c:pt>
              </c:strCache>
            </c:strRef>
          </c:cat>
          <c:val>
            <c:numRef>
              <c:f>Anlagenberechnung!$G$70:$G$76</c:f>
              <c:numCache>
                <c:formatCode>0.00\ "MW"</c:formatCode>
                <c:ptCount val="7"/>
                <c:pt idx="0">
                  <c:v>136.65119868405463</c:v>
                </c:pt>
                <c:pt idx="1">
                  <c:v>144.98969999999997</c:v>
                </c:pt>
                <c:pt idx="2">
                  <c:v>74.67669660170256</c:v>
                </c:pt>
                <c:pt idx="3">
                  <c:v>218.63931665577024</c:v>
                </c:pt>
                <c:pt idx="4">
                  <c:v>521.85928801136356</c:v>
                </c:pt>
                <c:pt idx="5">
                  <c:v>100.25824325661526</c:v>
                </c:pt>
                <c:pt idx="6">
                  <c:v>386.63919999999996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4-4050-8F26-A160F2FB3B77}"/>
            </c:ext>
          </c:extLst>
        </c:ser>
        <c:ser>
          <c:idx val="1"/>
          <c:order val="1"/>
          <c:tx>
            <c:strRef>
              <c:f>Anlagenberechnung!$H$69</c:f>
              <c:strCache>
                <c:ptCount val="1"/>
                <c:pt idx="0">
                  <c:v>20,0 Vol.% H2</c:v>
                </c:pt>
              </c:strCache>
            </c:strRef>
          </c:tx>
          <c:spPr>
            <a:solidFill>
              <a:srgbClr val="F6FECE"/>
            </a:solidFill>
            <a:ln>
              <a:solidFill>
                <a:srgbClr val="000000"/>
              </a:solidFill>
            </a:ln>
          </c:spPr>
          <c:invertIfNegative val="0"/>
          <c:dLbls>
            <c:numFmt formatCode="0.00" sourceLinked="0"/>
            <c:spPr>
              <a:solidFill>
                <a:srgbClr val="F6FECE"/>
              </a:solidFill>
              <a:ln w="9525">
                <a:solidFill>
                  <a:srgbClr val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Anlagenberechnung!$B$70:$B$76</c:f>
              <c:strCache>
                <c:ptCount val="7"/>
                <c:pt idx="0">
                  <c:v>Eingangsnennweite:</c:v>
                </c:pt>
                <c:pt idx="1">
                  <c:v>Filterfläche:</c:v>
                </c:pt>
                <c:pt idx="2">
                  <c:v>Leistung Vorwärmung:</c:v>
                </c:pt>
                <c:pt idx="3">
                  <c:v>SAV-Nennweite:</c:v>
                </c:pt>
                <c:pt idx="4">
                  <c:v>KG-Wert Regelgerät:</c:v>
                </c:pt>
                <c:pt idx="5">
                  <c:v>Ausgangsnennweite:</c:v>
                </c:pt>
                <c:pt idx="6">
                  <c:v>Zählergröße:</c:v>
                </c:pt>
              </c:strCache>
            </c:strRef>
          </c:cat>
          <c:val>
            <c:numRef>
              <c:f>Anlagenberechnung!$H$70:$H$76</c:f>
              <c:numCache>
                <c:formatCode>#0.00\ "MW"</c:formatCode>
                <c:ptCount val="7"/>
                <c:pt idx="0">
                  <c:v>117.73391970100987</c:v>
                </c:pt>
                <c:pt idx="1">
                  <c:v>124.91808240000002</c:v>
                </c:pt>
                <c:pt idx="2">
                  <c:v>90.541333483731876</c:v>
                </c:pt>
                <c:pt idx="3">
                  <c:v>188.37203038481496</c:v>
                </c:pt>
                <c:pt idx="4">
                  <c:v>449.61046172909096</c:v>
                </c:pt>
                <c:pt idx="5">
                  <c:v>86.379015146656002</c:v>
                </c:pt>
                <c:pt idx="6">
                  <c:v>333.11488640000005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4-4050-8F26-A160F2FB3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84851632"/>
        <c:axId val="1"/>
      </c:barChart>
      <c:catAx>
        <c:axId val="78485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\ &quot;MW&quot;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4851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198573928258963"/>
          <c:y val="0.93048508300765587"/>
          <c:w val="0.52442860892388454"/>
          <c:h val="6.2352193750842222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79</xdr:row>
      <xdr:rowOff>190500</xdr:rowOff>
    </xdr:from>
    <xdr:to>
      <xdr:col>12</xdr:col>
      <xdr:colOff>571500</xdr:colOff>
      <xdr:row>103</xdr:row>
      <xdr:rowOff>133350</xdr:rowOff>
    </xdr:to>
    <xdr:graphicFrame macro="">
      <xdr:nvGraphicFramePr>
        <xdr:cNvPr id="73876" name="Diagramm 2">
          <a:extLst>
            <a:ext uri="{FF2B5EF4-FFF2-40B4-BE49-F238E27FC236}">
              <a16:creationId xmlns:a16="http://schemas.microsoft.com/office/drawing/2014/main" id="{ACDDADB2-D5DA-F5D3-0B34-AA9631CC9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106"/>
  <sheetViews>
    <sheetView tabSelected="1" view="pageBreakPreview" zoomScale="90" zoomScaleNormal="90" zoomScaleSheetLayoutView="90" workbookViewId="0">
      <selection activeCell="L10" sqref="L10"/>
    </sheetView>
  </sheetViews>
  <sheetFormatPr baseColWidth="10" defaultColWidth="11.42578125" defaultRowHeight="12.75" x14ac:dyDescent="0.2"/>
  <cols>
    <col min="1" max="1" width="18.42578125" style="1" customWidth="1"/>
    <col min="2" max="4" width="11.42578125" style="1"/>
    <col min="5" max="5" width="9" style="1" customWidth="1"/>
    <col min="6" max="6" width="11.42578125" style="1"/>
    <col min="7" max="7" width="14.42578125" style="1" customWidth="1"/>
    <col min="8" max="8" width="15" style="1" customWidth="1"/>
    <col min="9" max="9" width="15.42578125" style="1" customWidth="1"/>
    <col min="10" max="10" width="16.7109375" style="1" customWidth="1"/>
    <col min="11" max="11" width="12.7109375" style="1" customWidth="1"/>
    <col min="12" max="12" width="23.7109375" style="1" customWidth="1"/>
    <col min="13" max="13" width="17" style="1" customWidth="1"/>
    <col min="14" max="16384" width="11.42578125" style="1"/>
  </cols>
  <sheetData>
    <row r="1" spans="1:13" ht="15.75" x14ac:dyDescent="0.25">
      <c r="A1" s="5" t="s">
        <v>115</v>
      </c>
      <c r="B1" s="3"/>
      <c r="C1" s="3"/>
      <c r="D1" s="3"/>
      <c r="E1" s="2"/>
      <c r="F1" s="3"/>
      <c r="G1" s="78" t="s">
        <v>139</v>
      </c>
      <c r="H1" s="2"/>
      <c r="I1" s="61" t="s">
        <v>179</v>
      </c>
      <c r="J1" s="61"/>
      <c r="K1" s="147" t="s">
        <v>83</v>
      </c>
      <c r="L1" s="147"/>
    </row>
    <row r="2" spans="1:13" ht="15.75" x14ac:dyDescent="0.25">
      <c r="A2" s="7"/>
      <c r="B2" s="3"/>
      <c r="C2" s="3"/>
      <c r="D2" s="3"/>
      <c r="E2" s="2"/>
      <c r="F2" s="3"/>
      <c r="G2" s="2"/>
      <c r="H2" s="2"/>
      <c r="I2" s="6"/>
      <c r="J2" s="6"/>
      <c r="K2" s="8"/>
      <c r="L2" s="8"/>
    </row>
    <row r="3" spans="1:13" ht="15.75" x14ac:dyDescent="0.25">
      <c r="A3" s="7"/>
      <c r="B3" s="3"/>
      <c r="C3" s="3"/>
      <c r="D3" s="3"/>
      <c r="E3" s="2"/>
      <c r="F3" s="3"/>
      <c r="G3" s="2"/>
      <c r="H3" s="2"/>
      <c r="I3" s="2"/>
      <c r="J3" s="4"/>
      <c r="M3" s="9"/>
    </row>
    <row r="4" spans="1:13" ht="19.5" x14ac:dyDescent="0.35">
      <c r="A4" s="98" t="s">
        <v>0</v>
      </c>
      <c r="B4" s="148" t="s">
        <v>181</v>
      </c>
      <c r="C4" s="149"/>
      <c r="D4" s="149"/>
      <c r="E4" s="149"/>
      <c r="F4" s="149"/>
      <c r="G4" s="149"/>
      <c r="H4" s="149"/>
      <c r="I4" s="149"/>
      <c r="J4" s="149"/>
      <c r="K4" s="149"/>
      <c r="L4" s="150"/>
      <c r="M4" s="9"/>
    </row>
    <row r="5" spans="1:13" x14ac:dyDescent="0.2">
      <c r="A5" s="44" t="s">
        <v>149</v>
      </c>
      <c r="B5" s="156" t="s">
        <v>182</v>
      </c>
      <c r="C5" s="157"/>
      <c r="D5" s="19" t="s">
        <v>114</v>
      </c>
      <c r="E5" s="158">
        <v>45292</v>
      </c>
      <c r="F5" s="159"/>
      <c r="G5" s="2"/>
      <c r="H5" s="2"/>
      <c r="I5" s="2"/>
      <c r="J5" s="4"/>
    </row>
    <row r="6" spans="1:13" x14ac:dyDescent="0.2">
      <c r="A6" s="10"/>
      <c r="B6" s="11"/>
      <c r="C6" s="2"/>
      <c r="D6" s="2"/>
      <c r="E6" s="2"/>
      <c r="F6" s="3"/>
      <c r="G6" s="2"/>
      <c r="H6" s="2"/>
      <c r="I6" s="2"/>
      <c r="J6" s="4"/>
    </row>
    <row r="7" spans="1:13" x14ac:dyDescent="0.2">
      <c r="A7" s="12" t="s">
        <v>34</v>
      </c>
      <c r="C7" s="13" t="s">
        <v>27</v>
      </c>
      <c r="D7" s="14"/>
      <c r="E7" s="14"/>
      <c r="F7" s="14"/>
      <c r="G7" s="14"/>
      <c r="H7" s="14"/>
      <c r="I7" s="14"/>
      <c r="J7" s="14"/>
      <c r="K7" s="15"/>
    </row>
    <row r="8" spans="1:13" x14ac:dyDescent="0.2">
      <c r="A8" s="12"/>
      <c r="B8" s="11"/>
      <c r="C8" s="2"/>
      <c r="D8" s="2"/>
      <c r="E8" s="2"/>
      <c r="F8" s="3"/>
      <c r="G8" s="2"/>
      <c r="H8" s="2"/>
      <c r="I8" s="2"/>
      <c r="J8" s="4"/>
    </row>
    <row r="9" spans="1:13" ht="20.25" x14ac:dyDescent="0.35">
      <c r="B9" s="11"/>
      <c r="D9" s="16" t="s">
        <v>104</v>
      </c>
      <c r="E9" s="17" t="s">
        <v>68</v>
      </c>
      <c r="F9" s="121">
        <v>20</v>
      </c>
      <c r="G9" s="32" t="s">
        <v>67</v>
      </c>
      <c r="H9" s="18" t="s">
        <v>57</v>
      </c>
      <c r="I9" s="2"/>
      <c r="J9" s="4"/>
    </row>
    <row r="10" spans="1:13" ht="20.25" x14ac:dyDescent="0.35">
      <c r="B10" s="11"/>
      <c r="D10" s="16" t="s">
        <v>105</v>
      </c>
      <c r="E10" s="17" t="s">
        <v>68</v>
      </c>
      <c r="F10" s="121">
        <v>20</v>
      </c>
      <c r="G10" s="32" t="s">
        <v>67</v>
      </c>
      <c r="H10" s="18" t="s">
        <v>57</v>
      </c>
      <c r="I10" s="2"/>
      <c r="J10" s="4"/>
    </row>
    <row r="11" spans="1:13" ht="16.5" customHeight="1" x14ac:dyDescent="0.35">
      <c r="B11" s="11"/>
      <c r="C11" s="2"/>
      <c r="D11" s="19" t="s">
        <v>111</v>
      </c>
      <c r="E11" s="2"/>
      <c r="F11" s="122">
        <v>10</v>
      </c>
      <c r="G11" s="22" t="s">
        <v>96</v>
      </c>
      <c r="H11" s="21" t="s">
        <v>58</v>
      </c>
      <c r="I11" s="2"/>
      <c r="J11" s="4"/>
    </row>
    <row r="12" spans="1:13" x14ac:dyDescent="0.2">
      <c r="B12" s="11"/>
      <c r="C12" s="2"/>
      <c r="D12" s="19" t="s">
        <v>113</v>
      </c>
      <c r="E12" s="2" t="s">
        <v>12</v>
      </c>
      <c r="F12" s="123" t="s">
        <v>107</v>
      </c>
      <c r="H12" s="155">
        <f>IF(F12="j",1.6,1)</f>
        <v>1.6</v>
      </c>
      <c r="I12" s="155"/>
      <c r="J12" s="155"/>
      <c r="K12" s="155"/>
      <c r="L12" s="146"/>
    </row>
    <row r="13" spans="1:13" x14ac:dyDescent="0.2">
      <c r="B13" s="11"/>
      <c r="C13" s="2"/>
      <c r="D13" s="19"/>
      <c r="E13" s="2"/>
      <c r="F13" s="20"/>
      <c r="G13" s="20"/>
      <c r="H13" s="18"/>
      <c r="I13" s="2"/>
      <c r="J13" s="4"/>
    </row>
    <row r="14" spans="1:13" x14ac:dyDescent="0.2">
      <c r="B14" s="11"/>
      <c r="G14" s="20"/>
      <c r="I14" s="23" t="s">
        <v>99</v>
      </c>
      <c r="J14" s="23"/>
      <c r="K14" s="30" t="s">
        <v>59</v>
      </c>
    </row>
    <row r="15" spans="1:13" x14ac:dyDescent="0.2">
      <c r="B15" s="11"/>
      <c r="C15" s="2"/>
      <c r="D15" s="19"/>
      <c r="E15" s="2"/>
      <c r="F15" s="24"/>
      <c r="G15" s="20"/>
      <c r="H15" s="19" t="s">
        <v>99</v>
      </c>
      <c r="I15" s="25" t="s">
        <v>17</v>
      </c>
      <c r="J15" s="25" t="s">
        <v>18</v>
      </c>
      <c r="K15" s="62" t="s">
        <v>126</v>
      </c>
    </row>
    <row r="16" spans="1:13" ht="20.25" x14ac:dyDescent="0.35">
      <c r="C16" s="2"/>
      <c r="D16" s="16" t="s">
        <v>70</v>
      </c>
      <c r="E16" s="26" t="s">
        <v>72</v>
      </c>
      <c r="F16" s="27">
        <f>IF(F32="H",J16,I16)</f>
        <v>0.5</v>
      </c>
      <c r="G16" s="28" t="s">
        <v>60</v>
      </c>
      <c r="H16" s="19" t="s">
        <v>127</v>
      </c>
      <c r="I16" s="124">
        <v>0.45</v>
      </c>
      <c r="J16" s="124">
        <v>0.5</v>
      </c>
      <c r="K16" s="63">
        <v>-2.4E-2</v>
      </c>
      <c r="L16" s="29" t="s">
        <v>61</v>
      </c>
    </row>
    <row r="17" spans="1:14" ht="20.25" x14ac:dyDescent="0.35">
      <c r="B17" s="11"/>
      <c r="C17" s="2"/>
      <c r="D17" s="19" t="s">
        <v>71</v>
      </c>
      <c r="E17" s="19" t="s">
        <v>73</v>
      </c>
      <c r="F17" s="31">
        <f>IF(F32="H",J17,I17)</f>
        <v>2.6</v>
      </c>
      <c r="G17" s="32" t="s">
        <v>62</v>
      </c>
      <c r="H17" s="19" t="s">
        <v>128</v>
      </c>
      <c r="I17" s="124">
        <v>2.2999999999999998</v>
      </c>
      <c r="J17" s="124">
        <v>2.6</v>
      </c>
      <c r="K17" s="63">
        <v>14.199</v>
      </c>
      <c r="L17" s="33" t="s">
        <v>63</v>
      </c>
      <c r="M17" s="30"/>
    </row>
    <row r="18" spans="1:14" ht="19.5" x14ac:dyDescent="0.35">
      <c r="B18" s="11"/>
      <c r="C18" s="2"/>
      <c r="D18" s="19"/>
      <c r="E18" s="19" t="s">
        <v>74</v>
      </c>
      <c r="F18" s="31">
        <f>IF(F32="H",J18,I18)</f>
        <v>0.79</v>
      </c>
      <c r="G18" s="101" t="s">
        <v>153</v>
      </c>
      <c r="H18" s="19" t="s">
        <v>129</v>
      </c>
      <c r="I18" s="124">
        <v>0.82</v>
      </c>
      <c r="J18" s="124">
        <v>0.79</v>
      </c>
      <c r="K18" s="63">
        <v>8.9880000000000002E-2</v>
      </c>
      <c r="L18" s="101" t="s">
        <v>153</v>
      </c>
      <c r="M18" s="30"/>
    </row>
    <row r="19" spans="1:14" ht="19.5" x14ac:dyDescent="0.35">
      <c r="B19" s="11"/>
      <c r="C19" s="2"/>
      <c r="D19" s="19"/>
      <c r="E19" s="19" t="s">
        <v>130</v>
      </c>
      <c r="F19" s="31">
        <f>IF(F32="H",J19,I19)</f>
        <v>11.5</v>
      </c>
      <c r="G19" s="101" t="s">
        <v>152</v>
      </c>
      <c r="H19" s="19" t="s">
        <v>130</v>
      </c>
      <c r="I19" s="124">
        <v>10</v>
      </c>
      <c r="J19" s="124">
        <v>11.5</v>
      </c>
      <c r="K19" s="63">
        <v>3.54</v>
      </c>
      <c r="L19" s="101" t="s">
        <v>152</v>
      </c>
    </row>
    <row r="20" spans="1:14" ht="17.25" x14ac:dyDescent="0.2">
      <c r="B20" s="11"/>
      <c r="C20" s="2"/>
      <c r="D20" s="2"/>
      <c r="E20" s="2"/>
      <c r="F20" s="2"/>
      <c r="G20" s="2"/>
      <c r="H20" s="20" t="s">
        <v>97</v>
      </c>
      <c r="I20" s="22" t="s">
        <v>11</v>
      </c>
      <c r="K20" s="33"/>
      <c r="L20" s="30"/>
    </row>
    <row r="21" spans="1:14" ht="20.25" x14ac:dyDescent="0.35">
      <c r="B21" s="11"/>
      <c r="C21" s="2"/>
      <c r="D21" s="2"/>
      <c r="E21" s="20" t="s">
        <v>98</v>
      </c>
      <c r="F21" s="59">
        <f>IF($F$47="j",$I$21,$H$21)</f>
        <v>50</v>
      </c>
      <c r="G21" s="32" t="s">
        <v>67</v>
      </c>
      <c r="H21" s="125">
        <v>50</v>
      </c>
      <c r="I21" s="125">
        <v>70</v>
      </c>
      <c r="J21" s="32" t="s">
        <v>67</v>
      </c>
      <c r="K21" s="64"/>
      <c r="L21" s="65" t="s">
        <v>131</v>
      </c>
      <c r="M21" s="126">
        <v>0.2</v>
      </c>
      <c r="N21" s="42"/>
    </row>
    <row r="22" spans="1:14" x14ac:dyDescent="0.2">
      <c r="B22" s="11"/>
      <c r="C22" s="2"/>
      <c r="D22" s="19"/>
      <c r="E22" s="2"/>
      <c r="F22" s="2"/>
      <c r="G22" s="2"/>
      <c r="H22" s="20"/>
      <c r="I22" s="34"/>
      <c r="J22" s="34"/>
      <c r="K22" s="66"/>
      <c r="L22" s="136" t="s">
        <v>172</v>
      </c>
      <c r="M22" s="144">
        <f>((L28/F19)*100)</f>
        <v>86.15652173913044</v>
      </c>
    </row>
    <row r="23" spans="1:14" x14ac:dyDescent="0.2">
      <c r="B23" s="11"/>
      <c r="C23" s="2"/>
      <c r="D23" s="19"/>
      <c r="E23" s="19" t="s">
        <v>85</v>
      </c>
      <c r="F23" s="121">
        <v>90</v>
      </c>
      <c r="G23" s="1" t="s">
        <v>89</v>
      </c>
      <c r="H23" s="20"/>
      <c r="I23" s="34"/>
      <c r="J23" s="35"/>
      <c r="K23" s="138" t="s">
        <v>177</v>
      </c>
      <c r="L23" s="139">
        <f>100-M23</f>
        <v>97.234359422501754</v>
      </c>
      <c r="M23" s="143">
        <f>(M21*K18/L27)*100</f>
        <v>2.765640577498246</v>
      </c>
    </row>
    <row r="24" spans="1:14" x14ac:dyDescent="0.2">
      <c r="B24" s="11"/>
      <c r="C24" s="36"/>
      <c r="D24" s="2"/>
      <c r="E24" s="17" t="s">
        <v>75</v>
      </c>
      <c r="F24" s="127">
        <v>5</v>
      </c>
      <c r="G24" s="36" t="s">
        <v>3</v>
      </c>
      <c r="H24" s="2"/>
      <c r="I24" s="34"/>
      <c r="J24" s="34"/>
      <c r="K24" s="67"/>
      <c r="L24" s="137" t="s">
        <v>173</v>
      </c>
      <c r="M24" s="68"/>
      <c r="N24" s="70"/>
    </row>
    <row r="25" spans="1:14" x14ac:dyDescent="0.2">
      <c r="B25" s="11"/>
      <c r="C25" s="36"/>
      <c r="D25" s="2"/>
      <c r="E25" s="17" t="s">
        <v>76</v>
      </c>
      <c r="F25" s="127">
        <v>2</v>
      </c>
      <c r="G25" s="36" t="s">
        <v>3</v>
      </c>
      <c r="H25" s="2"/>
      <c r="I25" s="34"/>
      <c r="K25" s="69" t="s">
        <v>127</v>
      </c>
      <c r="L25" s="70">
        <f>((($M$21*100)/100)*$K16)+(((100-($M$21*100))/100)*$F16)</f>
        <v>0.3952</v>
      </c>
      <c r="M25" s="71" t="s">
        <v>132</v>
      </c>
    </row>
    <row r="26" spans="1:14" ht="15.75" x14ac:dyDescent="0.2">
      <c r="B26" s="11"/>
      <c r="C26" s="36"/>
      <c r="D26" s="2"/>
      <c r="E26" s="17" t="s">
        <v>77</v>
      </c>
      <c r="F26" s="121">
        <v>150</v>
      </c>
      <c r="G26" s="56" t="s">
        <v>154</v>
      </c>
      <c r="H26" s="2"/>
      <c r="I26" s="34"/>
      <c r="K26" s="69" t="s">
        <v>128</v>
      </c>
      <c r="L26" s="70">
        <f>((($M$23)/100)*$K17)+(((100-($M$23))/100)*$F17)</f>
        <v>2.9207866505840219</v>
      </c>
      <c r="M26" s="72" t="s">
        <v>133</v>
      </c>
    </row>
    <row r="27" spans="1:14" x14ac:dyDescent="0.2">
      <c r="B27" s="11"/>
      <c r="C27" s="36"/>
      <c r="D27" s="2"/>
      <c r="E27" s="17"/>
      <c r="F27" s="37"/>
      <c r="G27" s="37"/>
      <c r="H27" s="2"/>
      <c r="I27" s="2"/>
      <c r="K27" s="69" t="s">
        <v>129</v>
      </c>
      <c r="L27" s="70">
        <f>((($M$21*100)/100)*$K$18)+(((100-($M$21*100))/100)*$F$18)</f>
        <v>0.64997600000000011</v>
      </c>
      <c r="M27" s="71" t="s">
        <v>134</v>
      </c>
    </row>
    <row r="28" spans="1:14" x14ac:dyDescent="0.2">
      <c r="B28" s="11"/>
      <c r="C28" s="36"/>
      <c r="D28" s="2"/>
      <c r="E28" s="17"/>
      <c r="F28" s="3"/>
      <c r="G28" s="37"/>
      <c r="H28" s="2"/>
      <c r="I28" s="2"/>
      <c r="K28" s="69" t="s">
        <v>135</v>
      </c>
      <c r="L28" s="70">
        <f>((($M$21*100)/100)*$K$19)+(((100-($M$21*100))/100)*$F$19)</f>
        <v>9.9080000000000013</v>
      </c>
      <c r="M28" s="71" t="s">
        <v>136</v>
      </c>
    </row>
    <row r="29" spans="1:14" x14ac:dyDescent="0.2">
      <c r="A29" s="12" t="s">
        <v>35</v>
      </c>
      <c r="E29" s="3"/>
      <c r="F29" s="152" t="s">
        <v>26</v>
      </c>
      <c r="G29" s="153"/>
      <c r="H29" s="153"/>
      <c r="I29" s="154"/>
      <c r="K29" s="67"/>
      <c r="L29" s="134" t="s">
        <v>174</v>
      </c>
      <c r="M29" s="73">
        <f>L27/1.2931</f>
        <v>0.50264944706519232</v>
      </c>
    </row>
    <row r="30" spans="1:14" x14ac:dyDescent="0.2">
      <c r="C30" s="2"/>
      <c r="D30" s="2"/>
      <c r="E30" s="3"/>
      <c r="F30" s="38" t="s">
        <v>65</v>
      </c>
      <c r="G30" s="2"/>
      <c r="H30" s="2"/>
      <c r="I30" s="2"/>
      <c r="K30" s="74"/>
      <c r="L30" s="135" t="s">
        <v>175</v>
      </c>
      <c r="M30" s="117">
        <f>IF(M21=0,1,ROUND((SQRT(175.8/(M29*(273.15+F24)))),2))</f>
        <v>1.1200000000000001</v>
      </c>
    </row>
    <row r="31" spans="1:14" x14ac:dyDescent="0.2">
      <c r="C31" s="2"/>
      <c r="D31" s="2"/>
      <c r="E31" s="3"/>
      <c r="F31" s="38"/>
      <c r="G31" s="2"/>
      <c r="H31" s="2"/>
      <c r="I31" s="2"/>
    </row>
    <row r="32" spans="1:14" x14ac:dyDescent="0.2">
      <c r="C32" s="2"/>
      <c r="D32" s="19"/>
      <c r="E32" s="19" t="s">
        <v>81</v>
      </c>
      <c r="F32" s="128" t="s">
        <v>178</v>
      </c>
      <c r="G32" s="2"/>
      <c r="H32" s="2"/>
      <c r="I32" s="2"/>
    </row>
    <row r="33" spans="2:14" x14ac:dyDescent="0.2">
      <c r="B33" s="23" t="s">
        <v>28</v>
      </c>
      <c r="C33" s="2"/>
      <c r="D33" s="2"/>
      <c r="E33" s="3"/>
      <c r="F33" s="3"/>
      <c r="G33" s="2"/>
      <c r="H33" s="2"/>
      <c r="I33" s="2"/>
    </row>
    <row r="34" spans="2:14" x14ac:dyDescent="0.2">
      <c r="B34" s="12"/>
      <c r="C34" s="151" t="s">
        <v>29</v>
      </c>
      <c r="D34" s="151"/>
      <c r="E34" s="19" t="s">
        <v>31</v>
      </c>
      <c r="F34" s="128">
        <v>100</v>
      </c>
      <c r="G34" s="2"/>
      <c r="H34" s="2"/>
      <c r="I34" s="2"/>
      <c r="J34" s="4"/>
    </row>
    <row r="35" spans="2:14" x14ac:dyDescent="0.2">
      <c r="B35" s="12"/>
      <c r="C35" s="2"/>
      <c r="D35" s="19" t="s">
        <v>6</v>
      </c>
      <c r="E35" s="19" t="s">
        <v>31</v>
      </c>
      <c r="F35" s="128">
        <v>80</v>
      </c>
      <c r="G35" s="2"/>
      <c r="H35" s="2"/>
      <c r="I35" s="2"/>
      <c r="J35" s="4"/>
    </row>
    <row r="36" spans="2:14" x14ac:dyDescent="0.2">
      <c r="B36" s="12"/>
      <c r="C36" s="2"/>
      <c r="D36" s="19" t="s">
        <v>30</v>
      </c>
      <c r="E36" s="19" t="s">
        <v>31</v>
      </c>
      <c r="F36" s="128">
        <v>300</v>
      </c>
      <c r="G36" s="54" t="s">
        <v>32</v>
      </c>
      <c r="H36" s="2"/>
      <c r="I36" s="2"/>
      <c r="J36" s="4"/>
    </row>
    <row r="37" spans="2:14" x14ac:dyDescent="0.2">
      <c r="B37" s="12"/>
      <c r="G37" s="2"/>
      <c r="H37" s="2"/>
      <c r="I37" s="2"/>
      <c r="J37" s="4"/>
    </row>
    <row r="38" spans="2:14" x14ac:dyDescent="0.2">
      <c r="B38" s="23" t="s">
        <v>20</v>
      </c>
      <c r="C38" s="2"/>
      <c r="D38" s="2"/>
      <c r="E38" s="3"/>
      <c r="F38" s="3"/>
      <c r="G38" s="2"/>
      <c r="H38" s="2"/>
      <c r="I38" s="2"/>
      <c r="J38" s="4"/>
    </row>
    <row r="39" spans="2:14" x14ac:dyDescent="0.2">
      <c r="B39" s="97" t="s">
        <v>146</v>
      </c>
      <c r="C39" s="2"/>
      <c r="D39" s="19" t="s">
        <v>14</v>
      </c>
      <c r="E39" s="19" t="s">
        <v>2</v>
      </c>
      <c r="F39" s="129">
        <v>20</v>
      </c>
      <c r="G39" s="96" t="s">
        <v>145</v>
      </c>
      <c r="H39" s="2"/>
      <c r="I39" s="2"/>
      <c r="J39" s="4"/>
    </row>
    <row r="40" spans="2:14" x14ac:dyDescent="0.2">
      <c r="B40" s="97" t="s">
        <v>147</v>
      </c>
      <c r="C40" s="2"/>
      <c r="D40" s="19" t="s">
        <v>15</v>
      </c>
      <c r="E40" s="19" t="s">
        <v>2</v>
      </c>
      <c r="F40" s="129">
        <v>65</v>
      </c>
      <c r="G40" s="2"/>
      <c r="H40" s="2"/>
      <c r="I40" s="2"/>
      <c r="J40" s="4"/>
    </row>
    <row r="41" spans="2:14" x14ac:dyDescent="0.2">
      <c r="B41" s="97" t="s">
        <v>148</v>
      </c>
      <c r="C41" s="2"/>
      <c r="D41" s="19" t="s">
        <v>10</v>
      </c>
      <c r="E41" s="19" t="s">
        <v>2</v>
      </c>
      <c r="F41" s="129">
        <v>0.7</v>
      </c>
      <c r="G41" s="2"/>
      <c r="H41" s="2"/>
      <c r="I41" s="2"/>
      <c r="J41" s="4"/>
    </row>
    <row r="42" spans="2:14" x14ac:dyDescent="0.2">
      <c r="B42" s="12"/>
      <c r="C42" s="2"/>
      <c r="D42" s="2"/>
      <c r="E42" s="2"/>
      <c r="F42" s="3"/>
      <c r="G42" s="40"/>
      <c r="H42" s="2"/>
      <c r="I42" s="2"/>
      <c r="J42" s="4"/>
    </row>
    <row r="43" spans="2:14" ht="18.75" x14ac:dyDescent="0.3">
      <c r="B43" s="12"/>
      <c r="C43" s="44" t="s">
        <v>150</v>
      </c>
      <c r="D43" s="145" t="s">
        <v>151</v>
      </c>
      <c r="E43" s="146"/>
      <c r="F43" s="39">
        <f>(F41+1.013)/(F39+1.013)</f>
        <v>8.1520963213248948E-2</v>
      </c>
      <c r="G43" s="40" t="str">
        <f>IF($F$43&gt;=0.5299,"unterkritisches Druckverhältnis !","überkritisches Druckverhältnis !")</f>
        <v>überkritisches Druckverhältnis !</v>
      </c>
      <c r="H43" s="2"/>
      <c r="I43" s="2"/>
      <c r="J43" s="4"/>
    </row>
    <row r="44" spans="2:14" x14ac:dyDescent="0.2">
      <c r="B44" s="12"/>
      <c r="C44" s="2"/>
      <c r="D44" s="2"/>
      <c r="E44" s="3"/>
      <c r="F44" s="3"/>
      <c r="G44" s="41" t="str">
        <f>IF($F$43&gt;=0.5299,"(Fließgeschwindigkeit in der Regler-Düse kleiner Schallgeschwindigkeit)","(Fließgeschwindigkeit in der Regler-Düse gleich Schallgeschwindigkeit)")</f>
        <v>(Fließgeschwindigkeit in der Regler-Düse gleich Schallgeschwindigkeit)</v>
      </c>
      <c r="H44" s="2"/>
      <c r="I44" s="2"/>
      <c r="J44" s="4"/>
    </row>
    <row r="45" spans="2:14" x14ac:dyDescent="0.2">
      <c r="B45" s="12"/>
      <c r="C45" s="2"/>
      <c r="D45" s="2"/>
      <c r="E45" s="3"/>
      <c r="F45" s="3"/>
      <c r="G45" s="41"/>
      <c r="H45" s="2"/>
      <c r="I45" s="2"/>
      <c r="J45" s="4"/>
    </row>
    <row r="46" spans="2:14" x14ac:dyDescent="0.2">
      <c r="B46" s="23" t="s">
        <v>13</v>
      </c>
      <c r="C46" s="2"/>
      <c r="D46" s="36" t="s">
        <v>64</v>
      </c>
      <c r="E46" s="2"/>
      <c r="F46" s="3"/>
      <c r="G46" s="2"/>
      <c r="H46" s="2"/>
      <c r="I46" s="2"/>
      <c r="J46" s="4"/>
    </row>
    <row r="47" spans="2:14" x14ac:dyDescent="0.2">
      <c r="B47" s="11"/>
      <c r="C47" s="2"/>
      <c r="D47" s="19" t="s">
        <v>11</v>
      </c>
      <c r="E47" s="2" t="s">
        <v>12</v>
      </c>
      <c r="F47" s="128" t="s">
        <v>180</v>
      </c>
      <c r="G47" s="18" t="str">
        <f>IF(F47="j","das Durchgangs-SAV wird ohne Änderung der Strömungsrichtung durchflossen","das Umlenk-SAV wird mit 90° Strömungsänderung durchflossen")</f>
        <v>das Umlenk-SAV wird mit 90° Strömungsänderung durchflossen</v>
      </c>
      <c r="H47" s="2"/>
      <c r="I47" s="2"/>
      <c r="J47" s="4"/>
    </row>
    <row r="48" spans="2:14" ht="19.5" x14ac:dyDescent="0.35">
      <c r="B48" s="11"/>
      <c r="C48" s="36"/>
      <c r="D48" s="19" t="s">
        <v>33</v>
      </c>
      <c r="E48" s="17" t="s">
        <v>56</v>
      </c>
      <c r="F48" s="60">
        <f>$F$21</f>
        <v>50</v>
      </c>
      <c r="G48" s="36" t="s">
        <v>1</v>
      </c>
      <c r="H48" s="36" t="str">
        <f>IF(F47&lt;&gt;"j","da Umlenk-SAV","da Durchgangs-SAV")</f>
        <v>da Umlenk-SAV</v>
      </c>
      <c r="I48" s="2"/>
      <c r="J48" s="4"/>
      <c r="N48" s="42"/>
    </row>
    <row r="49" spans="2:10" x14ac:dyDescent="0.2">
      <c r="B49" s="11"/>
      <c r="C49" s="36"/>
      <c r="D49" s="2"/>
      <c r="E49" s="2"/>
      <c r="F49" s="3"/>
      <c r="G49" s="36"/>
      <c r="H49" s="2"/>
      <c r="I49" s="2"/>
      <c r="J49" s="4"/>
    </row>
    <row r="50" spans="2:10" ht="19.5" x14ac:dyDescent="0.35">
      <c r="B50" s="43" t="s">
        <v>110</v>
      </c>
      <c r="C50" s="36"/>
      <c r="D50" s="2"/>
      <c r="E50" s="2"/>
      <c r="F50" s="3"/>
      <c r="G50" s="36"/>
      <c r="H50" s="2"/>
      <c r="I50" s="2"/>
      <c r="J50" s="4"/>
    </row>
    <row r="51" spans="2:10" ht="19.5" x14ac:dyDescent="0.35">
      <c r="B51" s="18" t="s">
        <v>24</v>
      </c>
      <c r="C51" s="36"/>
      <c r="D51" s="2"/>
      <c r="E51" s="44" t="s">
        <v>109</v>
      </c>
      <c r="F51" s="130">
        <v>4751</v>
      </c>
      <c r="G51" s="45"/>
      <c r="H51" s="2"/>
      <c r="I51" s="2"/>
      <c r="J51" s="4"/>
    </row>
    <row r="52" spans="2:10" ht="18" x14ac:dyDescent="0.25">
      <c r="B52" s="18"/>
      <c r="C52" s="36"/>
      <c r="D52" s="19" t="s">
        <v>92</v>
      </c>
      <c r="E52" s="55">
        <f>F11/100</f>
        <v>0.1</v>
      </c>
      <c r="F52" s="58">
        <f>F51/(100%+E52/100%)</f>
        <v>4319.090909090909</v>
      </c>
      <c r="G52" s="45"/>
      <c r="H52" s="2"/>
      <c r="I52" s="2"/>
      <c r="J52" s="4"/>
    </row>
    <row r="53" spans="2:10" x14ac:dyDescent="0.2">
      <c r="B53" s="11"/>
      <c r="C53" s="36"/>
      <c r="D53" s="2"/>
      <c r="E53" s="2"/>
      <c r="F53" s="3"/>
      <c r="G53" s="36"/>
      <c r="H53" s="2"/>
      <c r="I53" s="2"/>
      <c r="J53" s="4"/>
    </row>
    <row r="54" spans="2:10" x14ac:dyDescent="0.2">
      <c r="B54" s="43" t="s">
        <v>116</v>
      </c>
      <c r="C54" s="36"/>
      <c r="D54" s="2"/>
      <c r="E54" s="2"/>
      <c r="F54" s="3"/>
      <c r="G54" s="36"/>
      <c r="H54" s="2"/>
      <c r="I54" s="2"/>
      <c r="J54" s="4"/>
    </row>
    <row r="55" spans="2:10" x14ac:dyDescent="0.2">
      <c r="B55" s="18" t="s">
        <v>25</v>
      </c>
      <c r="C55" s="36"/>
      <c r="D55" s="2"/>
      <c r="E55" s="2"/>
      <c r="F55" s="3"/>
      <c r="G55" s="36"/>
      <c r="H55" s="2"/>
      <c r="I55" s="2"/>
      <c r="J55" s="4"/>
    </row>
    <row r="56" spans="2:10" x14ac:dyDescent="0.2">
      <c r="C56" s="2"/>
      <c r="D56" s="19" t="s">
        <v>69</v>
      </c>
      <c r="E56" s="19" t="s">
        <v>19</v>
      </c>
      <c r="F56" s="130">
        <v>1000</v>
      </c>
      <c r="G56" s="18"/>
      <c r="H56" s="2"/>
      <c r="I56" s="2"/>
      <c r="J56" s="4"/>
    </row>
    <row r="57" spans="2:10" x14ac:dyDescent="0.2">
      <c r="C57" s="2"/>
      <c r="E57" s="57" t="s">
        <v>95</v>
      </c>
      <c r="F57" s="131" t="s">
        <v>171</v>
      </c>
      <c r="G57" s="2"/>
      <c r="H57" s="2"/>
      <c r="I57" s="2"/>
      <c r="J57" s="4"/>
    </row>
    <row r="58" spans="2:10" x14ac:dyDescent="0.2">
      <c r="C58" s="2"/>
      <c r="E58" s="19" t="s">
        <v>93</v>
      </c>
      <c r="F58" s="46">
        <f>IF(F56&gt;0,IF(F57="E",F39,IF(F57="A",F41,"entfällt")),"entfällt")</f>
        <v>20</v>
      </c>
      <c r="G58" s="36" t="s">
        <v>2</v>
      </c>
      <c r="H58" s="2"/>
      <c r="I58" s="2"/>
      <c r="J58" s="4"/>
    </row>
    <row r="59" spans="2:10" x14ac:dyDescent="0.2">
      <c r="C59" s="2"/>
      <c r="D59" s="19"/>
      <c r="E59" s="19"/>
      <c r="F59" s="46"/>
      <c r="G59" s="2"/>
      <c r="H59" s="2"/>
      <c r="I59" s="2"/>
      <c r="J59" s="4"/>
    </row>
    <row r="60" spans="2:10" x14ac:dyDescent="0.2">
      <c r="B60" s="43" t="s">
        <v>23</v>
      </c>
      <c r="C60" s="2"/>
      <c r="D60" s="19"/>
      <c r="E60" s="19"/>
      <c r="F60" s="46"/>
      <c r="G60" s="2"/>
      <c r="H60" s="2"/>
      <c r="I60" s="2"/>
      <c r="J60" s="4"/>
    </row>
    <row r="61" spans="2:10" x14ac:dyDescent="0.2">
      <c r="B61" s="18" t="s">
        <v>108</v>
      </c>
      <c r="C61" s="2"/>
      <c r="D61" s="2"/>
      <c r="E61" s="19"/>
      <c r="F61" s="3"/>
      <c r="G61" s="2"/>
      <c r="H61" s="2"/>
      <c r="I61" s="2"/>
      <c r="J61" s="4"/>
    </row>
    <row r="62" spans="2:10" x14ac:dyDescent="0.2">
      <c r="C62" s="2"/>
      <c r="D62" s="19" t="s">
        <v>8</v>
      </c>
      <c r="E62" s="19" t="s">
        <v>9</v>
      </c>
      <c r="F62" s="132">
        <v>4</v>
      </c>
      <c r="G62" s="2"/>
      <c r="H62" s="2"/>
      <c r="I62" s="2"/>
      <c r="J62" s="4"/>
    </row>
    <row r="63" spans="2:10" x14ac:dyDescent="0.2">
      <c r="C63" s="2"/>
      <c r="D63" s="19"/>
      <c r="E63" s="19"/>
      <c r="F63" s="2"/>
      <c r="G63" s="2"/>
      <c r="H63" s="2"/>
      <c r="I63" s="2"/>
      <c r="J63" s="4"/>
    </row>
    <row r="64" spans="2:10" x14ac:dyDescent="0.2">
      <c r="B64" s="43" t="s">
        <v>21</v>
      </c>
      <c r="C64" s="2"/>
      <c r="D64" s="2"/>
      <c r="E64" s="2"/>
      <c r="F64" s="3"/>
      <c r="G64" s="40"/>
      <c r="H64" s="2"/>
      <c r="I64" s="2"/>
      <c r="J64" s="4"/>
    </row>
    <row r="65" spans="1:15" x14ac:dyDescent="0.2">
      <c r="B65" s="18" t="s">
        <v>87</v>
      </c>
      <c r="C65" s="2"/>
      <c r="D65" s="2"/>
      <c r="E65" s="19"/>
      <c r="G65" s="2"/>
      <c r="H65" s="2"/>
      <c r="I65" s="2"/>
      <c r="J65" s="4"/>
    </row>
    <row r="66" spans="1:15" x14ac:dyDescent="0.2">
      <c r="C66" s="2"/>
      <c r="D66" s="17" t="s">
        <v>88</v>
      </c>
      <c r="E66" s="19" t="s">
        <v>16</v>
      </c>
      <c r="F66" s="133">
        <v>120</v>
      </c>
      <c r="G66" s="2"/>
      <c r="H66" s="2"/>
      <c r="I66" s="2"/>
      <c r="J66" s="4"/>
    </row>
    <row r="67" spans="1:15" x14ac:dyDescent="0.2">
      <c r="C67" s="2"/>
      <c r="D67" s="17"/>
      <c r="E67" s="2"/>
      <c r="F67" s="2"/>
      <c r="G67" s="2"/>
      <c r="H67" s="2"/>
      <c r="I67" s="2"/>
      <c r="J67" s="4"/>
    </row>
    <row r="68" spans="1:15" x14ac:dyDescent="0.2">
      <c r="C68" s="2"/>
      <c r="D68" s="17"/>
      <c r="E68" s="2"/>
      <c r="H68" s="94"/>
      <c r="I68" s="94"/>
      <c r="J68" s="95">
        <f>H69</f>
        <v>20</v>
      </c>
    </row>
    <row r="69" spans="1:15" ht="15" x14ac:dyDescent="0.2">
      <c r="A69" s="80" t="s">
        <v>22</v>
      </c>
      <c r="B69" s="81"/>
      <c r="C69" s="82"/>
      <c r="D69" s="82"/>
      <c r="F69" s="89" t="s">
        <v>138</v>
      </c>
      <c r="G69" s="90" t="s">
        <v>137</v>
      </c>
      <c r="H69" s="93">
        <f>M21*100</f>
        <v>20</v>
      </c>
      <c r="I69" s="91" t="s">
        <v>142</v>
      </c>
      <c r="J69" s="94" t="s">
        <v>137</v>
      </c>
    </row>
    <row r="70" spans="1:15" ht="15" x14ac:dyDescent="0.2">
      <c r="A70" s="82"/>
      <c r="B70" s="83" t="s">
        <v>5</v>
      </c>
      <c r="C70" s="82" t="s">
        <v>4</v>
      </c>
      <c r="D70" s="82">
        <f>F34</f>
        <v>100</v>
      </c>
      <c r="E70" s="162">
        <f>((($D$70/1000)*($D$70/1000)*PI()/4)*$F$9*(1.01325+$F$39))*3600</f>
        <v>11882.71292904823</v>
      </c>
      <c r="F70" s="163"/>
      <c r="G70" s="120">
        <f>E70*$F$19/1000</f>
        <v>136.65119868405463</v>
      </c>
      <c r="H70" s="119">
        <f>$L$28*I70/1000</f>
        <v>117.73391970100987</v>
      </c>
      <c r="I70" s="91">
        <f>((($D$70/1000)*($D$70/1000)*PI()/4)*$F$9*(1.01325+$F$39))*3600</f>
        <v>11882.71292904823</v>
      </c>
      <c r="J70" s="92">
        <f t="shared" ref="J70:J75" si="0">H70/G70</f>
        <v>0.86156521739130443</v>
      </c>
      <c r="K70" s="115"/>
    </row>
    <row r="71" spans="1:15" ht="15" x14ac:dyDescent="0.2">
      <c r="A71" s="82"/>
      <c r="B71" s="83" t="s">
        <v>8</v>
      </c>
      <c r="C71" s="82" t="s">
        <v>9</v>
      </c>
      <c r="D71" s="84">
        <f>IF(F62&gt;0,F62,"entfällt")</f>
        <v>4</v>
      </c>
      <c r="E71" s="162">
        <f>IF($F$62&gt;0,($D$71*$F$26)*($F39+1.013),"keine Angaben")</f>
        <v>12607.8</v>
      </c>
      <c r="F71" s="163"/>
      <c r="G71" s="120">
        <f>IF($F$62&gt;0,(E71*$F$19/1000),"")</f>
        <v>144.98969999999997</v>
      </c>
      <c r="H71" s="119">
        <f>IF($F$62&gt;0,($L$28*I71/1000),"")</f>
        <v>124.91808240000002</v>
      </c>
      <c r="I71" s="91">
        <f>IF($F$62&gt;0,($D$71*$F$26)*($F39+1.013),"")</f>
        <v>12607.8</v>
      </c>
      <c r="J71" s="92">
        <f>IF($F$62&gt;0,(H71/G71),"")</f>
        <v>0.86156521739130465</v>
      </c>
      <c r="K71" s="115"/>
    </row>
    <row r="72" spans="1:15" ht="15" x14ac:dyDescent="0.2">
      <c r="A72" s="82"/>
      <c r="B72" s="83" t="s">
        <v>86</v>
      </c>
      <c r="C72" s="82" t="s">
        <v>16</v>
      </c>
      <c r="D72" s="85">
        <f>IF($F$66&gt;0,$F$66*$F$23/100,"entfällt")</f>
        <v>108</v>
      </c>
      <c r="E72" s="164">
        <f>IF((((F66*(F23/100))*3600)/((F18*F17*(((F16*(F40-F41)+(F25-F24)))))))&gt;=0,(IF((F66&gt;0),(D72*3600)/((F18*F17*(((F16*(F40-F41)+(F25-F24)))))),"keine Vorwärmung")),"nicht relevant")</f>
        <v>6493.6257914523967</v>
      </c>
      <c r="F72" s="165"/>
      <c r="G72" s="120">
        <f>IF($E$72="keine Vorwärmung","",E72*$F19/1000)</f>
        <v>74.67669660170256</v>
      </c>
      <c r="H72" s="119">
        <f>IF($M$21&lt;0.7,($D$72*3600)/(($L$27*$L$26*($L$25*($F$40-$F$41)+($F$25-$F$24))))*(($L$28/1000)),"")</f>
        <v>90.541333483731876</v>
      </c>
      <c r="I72" s="91">
        <f>IF($M$21&lt;0.7,IF($E$72="keine Vorwärmung","",H72*1000/$L$28),"ab 70% H2")</f>
        <v>9138.2048328352703</v>
      </c>
      <c r="J72" s="92">
        <f>IF($M$21&lt;0.7,IF($E$72="keine Vorwärmung","",H72/G72),"unberücksichtigt")</f>
        <v>1.2124442778534423</v>
      </c>
      <c r="L72" s="141"/>
    </row>
    <row r="73" spans="1:15" ht="15" x14ac:dyDescent="0.2">
      <c r="A73" s="82"/>
      <c r="B73" s="83" t="s">
        <v>6</v>
      </c>
      <c r="C73" s="82" t="s">
        <v>4</v>
      </c>
      <c r="D73" s="82">
        <f>F35</f>
        <v>80</v>
      </c>
      <c r="E73" s="162">
        <f>((($D$73/1000)*($D$73/1000)*PI()/4)*$F$48*(1.013+$F$39))*3600</f>
        <v>19012.114491806107</v>
      </c>
      <c r="F73" s="163"/>
      <c r="G73" s="120">
        <f>E73*$F$19/1000</f>
        <v>218.63931665577024</v>
      </c>
      <c r="H73" s="119">
        <f>$L$28*I73/1000</f>
        <v>188.37203038481496</v>
      </c>
      <c r="I73" s="91">
        <f>((($D$73/1000)*($D$73/1000)*PI()/4)*$F$48*(1.013+$F$39))*3600</f>
        <v>19012.114491806107</v>
      </c>
      <c r="J73" s="92">
        <f>IF($E$72="nicht relevant","",H73/G73)</f>
        <v>0.86156521739130454</v>
      </c>
      <c r="K73" s="140"/>
    </row>
    <row r="74" spans="1:15" ht="18.75" x14ac:dyDescent="0.3">
      <c r="A74" s="82"/>
      <c r="B74" s="83" t="s">
        <v>141</v>
      </c>
      <c r="C74" s="86"/>
      <c r="D74" s="87">
        <f>F52</f>
        <v>4319.090909090909</v>
      </c>
      <c r="E74" s="162">
        <f>IF($F$43&gt;0.5299,($D$74*(SQRT(($F$41+1.01325)*(($F$39+1.01325)-($F$41+1.01325))))),(($F$52*(1*($F$39+1.01325)/2))))</f>
        <v>45379.06852272727</v>
      </c>
      <c r="F74" s="163"/>
      <c r="G74" s="120">
        <f>E74*$F$19/1000</f>
        <v>521.85928801136356</v>
      </c>
      <c r="H74" s="119">
        <f>I74*L28/1000</f>
        <v>449.61046172909096</v>
      </c>
      <c r="I74" s="91">
        <f>IF($F$43&gt;0.5299,(($D$74/1)*(SQRT(($F$41+1.013)*(($F$39+1.013)-($F$41+1.013))))),(($F$52*(1/1*($F$39+1.013)/2))))</f>
        <v>45378.528636363633</v>
      </c>
      <c r="J74" s="92">
        <f t="shared" si="0"/>
        <v>0.86155496712995294</v>
      </c>
      <c r="K74" s="115"/>
      <c r="L74" s="116"/>
    </row>
    <row r="75" spans="1:15" ht="15" x14ac:dyDescent="0.2">
      <c r="A75" s="82"/>
      <c r="B75" s="83" t="s">
        <v>7</v>
      </c>
      <c r="C75" s="82" t="s">
        <v>4</v>
      </c>
      <c r="D75" s="82">
        <f>F36</f>
        <v>300</v>
      </c>
      <c r="E75" s="162">
        <f>((($D$75/1000)*($D$75/1000)*PI()/4)*$F$10*(1.013+$F$41))*3600</f>
        <v>8718.1081092708919</v>
      </c>
      <c r="F75" s="163"/>
      <c r="G75" s="120">
        <f>E75*$F$19/1000</f>
        <v>100.25824325661526</v>
      </c>
      <c r="H75" s="119">
        <f>$L$28*I75/1000</f>
        <v>86.379015146656002</v>
      </c>
      <c r="I75" s="91">
        <f>((($D$75/1000)*($D$75/1000)*PI()/4)*$F$10*(1.013+$F$41))*3600</f>
        <v>8718.1081092708919</v>
      </c>
      <c r="J75" s="92">
        <f t="shared" si="0"/>
        <v>0.86156521739130443</v>
      </c>
      <c r="K75" s="115"/>
    </row>
    <row r="76" spans="1:15" ht="15" x14ac:dyDescent="0.2">
      <c r="B76" s="83" t="s">
        <v>69</v>
      </c>
      <c r="C76" s="82" t="s">
        <v>19</v>
      </c>
      <c r="D76" s="88">
        <f>IF(F56&gt;0,F56,"entfällt")</f>
        <v>1000</v>
      </c>
      <c r="E76" s="162">
        <f>IF(($F$56&gt;0),($D$76*$H$12*(1.013+$F$58)),"kein Zähler")</f>
        <v>33620.799999999996</v>
      </c>
      <c r="F76" s="163"/>
      <c r="G76" s="120">
        <f>IF($E$76="kein Zähler","",E76*$F$19/1000)</f>
        <v>386.63919999999996</v>
      </c>
      <c r="H76" s="119">
        <f>IF($E$76="kein Zähler","",$L$28*I76/1000)</f>
        <v>333.11488640000005</v>
      </c>
      <c r="I76" s="91">
        <f>IF($E$76="kein Zähler","",($D$76*$H$12*(1.013+$F$58)))</f>
        <v>33620.799999999996</v>
      </c>
      <c r="J76" s="92">
        <f>IF($E$76="kein Zähler","",H76/G76)</f>
        <v>0.86156521739130454</v>
      </c>
      <c r="K76" s="115"/>
    </row>
    <row r="77" spans="1:15" ht="15.75" x14ac:dyDescent="0.25">
      <c r="A77" s="47"/>
      <c r="B77" s="47"/>
      <c r="C77" s="48"/>
      <c r="G77" s="48"/>
      <c r="H77" s="4"/>
      <c r="J77" s="2"/>
      <c r="O77" s="142"/>
    </row>
    <row r="78" spans="1:15" ht="15.75" x14ac:dyDescent="0.25">
      <c r="A78" s="47"/>
      <c r="B78" s="47"/>
      <c r="C78" s="48"/>
      <c r="D78" s="83" t="s">
        <v>143</v>
      </c>
      <c r="G78" s="90" t="str">
        <f>G69</f>
        <v>100 % Erdgas</v>
      </c>
      <c r="H78" s="93">
        <f>H69</f>
        <v>20</v>
      </c>
    </row>
    <row r="79" spans="1:15" ht="15.75" x14ac:dyDescent="0.25">
      <c r="A79" s="47"/>
      <c r="B79" s="47"/>
      <c r="C79" s="48"/>
      <c r="D79" s="83" t="s">
        <v>144</v>
      </c>
      <c r="E79" s="160">
        <f>MIN(E70:F76)</f>
        <v>6493.6257914523967</v>
      </c>
      <c r="F79" s="161"/>
      <c r="G79" s="100">
        <f>MIN(G70:G78)</f>
        <v>74.67669660170256</v>
      </c>
      <c r="H79" s="118">
        <f>MIN(H70:H77)</f>
        <v>86.379015146656002</v>
      </c>
      <c r="I79" s="99">
        <f>MIN(I70:I78)</f>
        <v>8718.1081092708919</v>
      </c>
      <c r="J79" s="92">
        <f>H79/G79</f>
        <v>1.1567064302183747</v>
      </c>
    </row>
    <row r="80" spans="1:15" ht="19.5" x14ac:dyDescent="0.35">
      <c r="A80" s="47"/>
      <c r="B80" s="47"/>
      <c r="C80" s="48"/>
      <c r="G80" s="77"/>
      <c r="H80" s="77"/>
      <c r="I80" s="75"/>
      <c r="J80" s="75"/>
      <c r="K80" s="49"/>
    </row>
    <row r="81" spans="1:11" ht="15.75" x14ac:dyDescent="0.25">
      <c r="A81" s="47"/>
      <c r="B81" s="47"/>
      <c r="C81" s="48"/>
      <c r="D81" s="50"/>
      <c r="E81" s="50"/>
      <c r="F81" s="51"/>
      <c r="G81" s="52"/>
      <c r="H81" s="52"/>
      <c r="I81" s="53"/>
      <c r="J81" s="4"/>
    </row>
    <row r="82" spans="1:11" ht="14.25" x14ac:dyDescent="0.2">
      <c r="C82" s="2"/>
      <c r="D82" s="2"/>
      <c r="E82" s="2"/>
      <c r="F82" s="3"/>
      <c r="G82" s="2"/>
      <c r="H82" s="2"/>
      <c r="I82" s="2"/>
      <c r="J82" s="75"/>
      <c r="K82" s="76"/>
    </row>
    <row r="83" spans="1:11" x14ac:dyDescent="0.2">
      <c r="C83" s="2"/>
      <c r="D83" s="2"/>
      <c r="E83" s="2"/>
      <c r="F83" s="3"/>
      <c r="G83" s="2"/>
      <c r="H83" s="2"/>
      <c r="I83" s="2"/>
      <c r="J83" s="4"/>
    </row>
    <row r="84" spans="1:11" x14ac:dyDescent="0.2">
      <c r="C84" s="2"/>
      <c r="D84" s="2"/>
      <c r="E84" s="2"/>
      <c r="F84" s="3"/>
      <c r="G84" s="2"/>
      <c r="H84" s="2"/>
      <c r="I84" s="2"/>
      <c r="J84" s="4"/>
    </row>
    <row r="85" spans="1:11" x14ac:dyDescent="0.2">
      <c r="C85" s="2"/>
      <c r="D85" s="2"/>
      <c r="E85" s="2"/>
      <c r="F85" s="3"/>
      <c r="G85" s="2"/>
      <c r="H85" s="2"/>
      <c r="I85" s="2"/>
      <c r="J85" s="4"/>
    </row>
    <row r="86" spans="1:11" x14ac:dyDescent="0.2">
      <c r="C86" s="2"/>
      <c r="D86" s="2"/>
      <c r="E86" s="2"/>
      <c r="F86" s="3"/>
      <c r="G86" s="2"/>
      <c r="H86" s="2"/>
      <c r="I86" s="2"/>
      <c r="J86" s="4"/>
    </row>
    <row r="87" spans="1:11" x14ac:dyDescent="0.2">
      <c r="C87" s="2"/>
      <c r="D87" s="2"/>
      <c r="E87" s="2"/>
      <c r="F87" s="3"/>
      <c r="G87" s="2"/>
      <c r="H87" s="2"/>
      <c r="I87" s="2"/>
      <c r="J87" s="4"/>
    </row>
    <row r="88" spans="1:11" x14ac:dyDescent="0.2">
      <c r="C88" s="2"/>
      <c r="D88" s="2"/>
      <c r="E88" s="2"/>
      <c r="F88" s="3"/>
      <c r="G88" s="2"/>
      <c r="H88" s="2"/>
      <c r="I88" s="2"/>
      <c r="J88" s="4"/>
    </row>
    <row r="89" spans="1:11" x14ac:dyDescent="0.2">
      <c r="C89" s="2"/>
      <c r="D89" s="2"/>
      <c r="E89" s="2"/>
      <c r="F89" s="3"/>
      <c r="G89" s="2"/>
      <c r="H89" s="2"/>
      <c r="I89" s="2"/>
      <c r="J89" s="4"/>
    </row>
    <row r="90" spans="1:11" x14ac:dyDescent="0.2">
      <c r="C90" s="2"/>
      <c r="D90" s="2"/>
      <c r="E90" s="2"/>
      <c r="F90" s="3"/>
      <c r="G90" s="2"/>
      <c r="H90" s="2"/>
      <c r="I90" s="2"/>
      <c r="J90" s="4"/>
    </row>
    <row r="91" spans="1:11" x14ac:dyDescent="0.2">
      <c r="C91" s="2"/>
      <c r="D91" s="2"/>
      <c r="E91" s="2"/>
      <c r="F91" s="3"/>
      <c r="G91" s="2"/>
      <c r="H91" s="2"/>
      <c r="I91" s="2"/>
      <c r="J91" s="4"/>
    </row>
    <row r="92" spans="1:11" x14ac:dyDescent="0.2">
      <c r="C92" s="2"/>
      <c r="D92" s="2"/>
      <c r="E92" s="2"/>
      <c r="F92" s="3"/>
      <c r="G92" s="2"/>
      <c r="H92" s="2"/>
      <c r="I92" s="2"/>
      <c r="J92" s="4"/>
    </row>
    <row r="93" spans="1:11" x14ac:dyDescent="0.2">
      <c r="C93" s="2"/>
      <c r="D93" s="2"/>
      <c r="E93" s="2"/>
      <c r="F93" s="3"/>
      <c r="G93" s="2"/>
      <c r="H93" s="2"/>
      <c r="I93" s="2"/>
      <c r="J93" s="4"/>
    </row>
    <row r="94" spans="1:11" x14ac:dyDescent="0.2">
      <c r="C94" s="2"/>
      <c r="D94" s="2"/>
      <c r="E94" s="2"/>
      <c r="F94" s="3"/>
      <c r="G94" s="2"/>
      <c r="H94" s="2"/>
      <c r="I94" s="2"/>
      <c r="J94" s="4"/>
    </row>
    <row r="95" spans="1:11" x14ac:dyDescent="0.2">
      <c r="C95" s="2"/>
      <c r="D95" s="2"/>
      <c r="E95" s="2"/>
      <c r="F95" s="3"/>
      <c r="G95" s="2"/>
      <c r="H95" s="2"/>
      <c r="I95" s="2"/>
      <c r="J95" s="4"/>
    </row>
    <row r="96" spans="1:11" x14ac:dyDescent="0.2">
      <c r="C96" s="2"/>
      <c r="D96" s="2"/>
      <c r="E96" s="2"/>
      <c r="F96" s="3"/>
      <c r="G96" s="2"/>
      <c r="H96" s="2"/>
      <c r="I96" s="2"/>
      <c r="J96" s="4"/>
    </row>
    <row r="97" spans="1:10" x14ac:dyDescent="0.2">
      <c r="C97" s="2"/>
      <c r="D97" s="2"/>
      <c r="E97" s="2"/>
      <c r="F97" s="3"/>
      <c r="G97" s="2"/>
      <c r="H97" s="2"/>
      <c r="I97" s="2"/>
      <c r="J97" s="4"/>
    </row>
    <row r="98" spans="1:10" x14ac:dyDescent="0.2">
      <c r="C98" s="2"/>
      <c r="D98" s="2"/>
      <c r="E98" s="2"/>
      <c r="F98" s="3"/>
      <c r="G98" s="2"/>
      <c r="H98" s="2"/>
      <c r="I98" s="2"/>
      <c r="J98" s="4"/>
    </row>
    <row r="99" spans="1:10" x14ac:dyDescent="0.2">
      <c r="C99" s="2"/>
      <c r="D99" s="2"/>
      <c r="E99" s="2"/>
      <c r="F99" s="3"/>
      <c r="G99" s="2"/>
      <c r="H99" s="2"/>
      <c r="I99" s="2"/>
      <c r="J99" s="4"/>
    </row>
    <row r="100" spans="1:10" x14ac:dyDescent="0.2">
      <c r="C100" s="2"/>
      <c r="D100" s="2"/>
      <c r="E100" s="2"/>
      <c r="F100" s="3"/>
      <c r="G100" s="2"/>
      <c r="H100" s="2"/>
      <c r="I100" s="2"/>
      <c r="J100" s="4"/>
    </row>
    <row r="101" spans="1:10" x14ac:dyDescent="0.2">
      <c r="C101" s="2"/>
      <c r="D101" s="2"/>
      <c r="E101" s="2"/>
      <c r="F101" s="3"/>
      <c r="G101" s="2"/>
      <c r="H101" s="2"/>
      <c r="I101" s="2"/>
      <c r="J101" s="4"/>
    </row>
    <row r="102" spans="1:10" x14ac:dyDescent="0.2">
      <c r="C102" s="2"/>
      <c r="D102" s="2"/>
      <c r="E102" s="2"/>
      <c r="F102" s="3"/>
      <c r="G102" s="2"/>
      <c r="H102" s="2"/>
      <c r="I102" s="2"/>
      <c r="J102" s="4"/>
    </row>
    <row r="106" spans="1:10" x14ac:dyDescent="0.2">
      <c r="A106" s="79" t="s">
        <v>140</v>
      </c>
    </row>
  </sheetData>
  <sheetProtection algorithmName="SHA-512" hashValue="Xlfuwu+GEuKRVtUi973T4hCX2oBC1VcIg02/wkqYu8TpoWZwhBPT2To5VBeoIddeefdJSBiXz6ZeIkdQWsE/yg==" saltValue="Q2rI4vt4eOn4XNBOHfexFg==" spinCount="100000" sheet="1" objects="1" scenarios="1"/>
  <protectedRanges>
    <protectedRange sqref="F9:F10" name="Bereich14"/>
    <protectedRange sqref="F32" name="Bereich11"/>
    <protectedRange sqref="F47" name="Bereich5"/>
    <protectedRange sqref="F39:F41" name="Bereich4"/>
    <protectedRange sqref="F34:F36" name="Bereich3"/>
    <protectedRange sqref="F23:F26" name="Bereich2"/>
    <protectedRange sqref="F9:F13" name="Bereich1"/>
    <protectedRange sqref="F51" name="Bereich6"/>
    <protectedRange sqref="F56:F57" name="Bereich7"/>
    <protectedRange sqref="F62" name="Bereich8"/>
    <protectedRange sqref="F66" name="Bereich9"/>
    <protectedRange sqref="B4" name="Bereich10"/>
    <protectedRange sqref="I16:J18 H19:I21 E19" name="Bereich12"/>
    <protectedRange sqref="H21:I21" name="Bereich13"/>
  </protectedRanges>
  <mergeCells count="16">
    <mergeCell ref="E79:F79"/>
    <mergeCell ref="E70:F70"/>
    <mergeCell ref="E71:F71"/>
    <mergeCell ref="E72:F72"/>
    <mergeCell ref="E73:F73"/>
    <mergeCell ref="E74:F74"/>
    <mergeCell ref="E75:F75"/>
    <mergeCell ref="E76:F76"/>
    <mergeCell ref="D43:E43"/>
    <mergeCell ref="K1:L1"/>
    <mergeCell ref="B4:L4"/>
    <mergeCell ref="C34:D34"/>
    <mergeCell ref="F29:I29"/>
    <mergeCell ref="H12:L12"/>
    <mergeCell ref="B5:C5"/>
    <mergeCell ref="E5:F5"/>
  </mergeCells>
  <phoneticPr fontId="18" type="noConversion"/>
  <printOptions horizontalCentered="1" verticalCentered="1"/>
  <pageMargins left="0.47244094488188981" right="0.19685039370078741" top="0.70866141732283472" bottom="0.55118110236220474" header="0.51181102362204722" footer="0.51181102362204722"/>
  <pageSetup paperSize="9" scale="52" orientation="portrait" horizontalDpi="1200" verticalDpi="1200" r:id="rId1"/>
  <headerFooter alignWithMargins="0">
    <oddFooter>&amp;R&amp;8&amp;F/&amp;A</oddFooter>
  </headerFooter>
  <ignoredErrors>
    <ignoredError sqref="H79 H7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87"/>
  <sheetViews>
    <sheetView zoomScaleNormal="100" workbookViewId="0">
      <selection activeCell="F24" sqref="F24"/>
    </sheetView>
  </sheetViews>
  <sheetFormatPr baseColWidth="10" defaultColWidth="11.42578125" defaultRowHeight="12.75" x14ac:dyDescent="0.2"/>
  <cols>
    <col min="1" max="9" width="11.42578125" style="1"/>
    <col min="10" max="10" width="13.85546875" style="1" customWidth="1"/>
    <col min="11" max="16384" width="11.42578125" style="1"/>
  </cols>
  <sheetData>
    <row r="1" spans="1:9" s="79" customFormat="1" x14ac:dyDescent="0.2">
      <c r="A1" s="104" t="s">
        <v>84</v>
      </c>
      <c r="D1" s="166" t="s">
        <v>169</v>
      </c>
      <c r="E1" s="167"/>
      <c r="F1" s="167"/>
      <c r="G1" s="166" t="s">
        <v>83</v>
      </c>
      <c r="H1" s="166"/>
      <c r="I1" s="166"/>
    </row>
    <row r="2" spans="1:9" s="79" customFormat="1" x14ac:dyDescent="0.2"/>
    <row r="3" spans="1:9" s="79" customFormat="1" x14ac:dyDescent="0.2">
      <c r="A3" s="105" t="s">
        <v>155</v>
      </c>
    </row>
    <row r="4" spans="1:9" s="79" customFormat="1" x14ac:dyDescent="0.2">
      <c r="A4" s="105" t="s">
        <v>117</v>
      </c>
    </row>
    <row r="5" spans="1:9" s="79" customFormat="1" x14ac:dyDescent="0.2">
      <c r="A5" s="105" t="s">
        <v>156</v>
      </c>
    </row>
    <row r="6" spans="1:9" s="79" customFormat="1" x14ac:dyDescent="0.2">
      <c r="A6" s="106" t="s">
        <v>54</v>
      </c>
      <c r="B6" s="107"/>
      <c r="C6" s="107"/>
      <c r="D6" s="107"/>
      <c r="E6" s="107"/>
      <c r="F6" s="107"/>
      <c r="G6" s="107"/>
      <c r="H6" s="114"/>
    </row>
    <row r="7" spans="1:9" s="79" customFormat="1" x14ac:dyDescent="0.2">
      <c r="A7" s="108" t="s">
        <v>66</v>
      </c>
      <c r="B7" s="109"/>
      <c r="C7" s="109"/>
      <c r="D7" s="109"/>
      <c r="E7" s="109"/>
      <c r="F7" s="109"/>
      <c r="G7" s="109"/>
      <c r="H7" s="110"/>
    </row>
    <row r="8" spans="1:9" s="79" customFormat="1" x14ac:dyDescent="0.2">
      <c r="A8" s="113" t="s">
        <v>157</v>
      </c>
      <c r="B8" s="102"/>
      <c r="C8" s="102"/>
      <c r="D8" s="102"/>
      <c r="E8" s="102"/>
      <c r="F8" s="102"/>
      <c r="G8" s="102"/>
      <c r="H8" s="103"/>
    </row>
    <row r="9" spans="1:9" s="79" customFormat="1" x14ac:dyDescent="0.2"/>
    <row r="10" spans="1:9" s="79" customFormat="1" x14ac:dyDescent="0.2">
      <c r="A10" s="104" t="s">
        <v>50</v>
      </c>
    </row>
    <row r="11" spans="1:9" s="79" customFormat="1" x14ac:dyDescent="0.2">
      <c r="A11" s="105" t="s">
        <v>158</v>
      </c>
    </row>
    <row r="12" spans="1:9" s="79" customFormat="1" x14ac:dyDescent="0.2">
      <c r="A12" s="105" t="s">
        <v>159</v>
      </c>
    </row>
    <row r="13" spans="1:9" s="79" customFormat="1" x14ac:dyDescent="0.2">
      <c r="A13" s="105" t="s">
        <v>168</v>
      </c>
    </row>
    <row r="14" spans="1:9" s="79" customFormat="1" x14ac:dyDescent="0.2">
      <c r="A14" s="105" t="s">
        <v>160</v>
      </c>
    </row>
    <row r="15" spans="1:9" s="79" customFormat="1" x14ac:dyDescent="0.2">
      <c r="A15" s="104" t="s">
        <v>51</v>
      </c>
    </row>
    <row r="16" spans="1:9" s="79" customFormat="1" x14ac:dyDescent="0.2">
      <c r="A16" s="105" t="s">
        <v>53</v>
      </c>
    </row>
    <row r="17" spans="1:1" s="79" customFormat="1" x14ac:dyDescent="0.2"/>
    <row r="18" spans="1:1" s="79" customFormat="1" x14ac:dyDescent="0.2">
      <c r="A18" s="79" t="s">
        <v>36</v>
      </c>
    </row>
    <row r="19" spans="1:1" s="79" customFormat="1" x14ac:dyDescent="0.2"/>
    <row r="20" spans="1:1" s="79" customFormat="1" x14ac:dyDescent="0.2">
      <c r="A20" s="111" t="s">
        <v>37</v>
      </c>
    </row>
    <row r="21" spans="1:1" s="79" customFormat="1" x14ac:dyDescent="0.2">
      <c r="A21" s="79" t="s">
        <v>45</v>
      </c>
    </row>
    <row r="22" spans="1:1" s="79" customFormat="1" x14ac:dyDescent="0.2">
      <c r="A22" s="79" t="s">
        <v>46</v>
      </c>
    </row>
    <row r="23" spans="1:1" s="79" customFormat="1" x14ac:dyDescent="0.2">
      <c r="A23" s="79" t="s">
        <v>47</v>
      </c>
    </row>
    <row r="24" spans="1:1" s="79" customFormat="1" x14ac:dyDescent="0.2">
      <c r="A24" s="79" t="s">
        <v>106</v>
      </c>
    </row>
    <row r="25" spans="1:1" s="79" customFormat="1" x14ac:dyDescent="0.2"/>
    <row r="26" spans="1:1" s="79" customFormat="1" x14ac:dyDescent="0.2">
      <c r="A26" s="111" t="s">
        <v>38</v>
      </c>
    </row>
    <row r="27" spans="1:1" s="79" customFormat="1" x14ac:dyDescent="0.2">
      <c r="A27" s="79" t="s">
        <v>40</v>
      </c>
    </row>
    <row r="28" spans="1:1" s="79" customFormat="1" x14ac:dyDescent="0.2">
      <c r="A28" s="79" t="s">
        <v>41</v>
      </c>
    </row>
    <row r="29" spans="1:1" s="79" customFormat="1" x14ac:dyDescent="0.2">
      <c r="A29" s="79" t="s">
        <v>103</v>
      </c>
    </row>
    <row r="30" spans="1:1" s="79" customFormat="1" x14ac:dyDescent="0.2">
      <c r="A30" s="79" t="s">
        <v>49</v>
      </c>
    </row>
    <row r="31" spans="1:1" s="79" customFormat="1" x14ac:dyDescent="0.2">
      <c r="A31" s="79" t="s">
        <v>48</v>
      </c>
    </row>
    <row r="32" spans="1:1" s="79" customFormat="1" x14ac:dyDescent="0.2"/>
    <row r="33" spans="1:1" s="79" customFormat="1" x14ac:dyDescent="0.2">
      <c r="A33" s="111" t="s">
        <v>39</v>
      </c>
    </row>
    <row r="34" spans="1:1" s="79" customFormat="1" x14ac:dyDescent="0.2">
      <c r="A34" s="79" t="s">
        <v>112</v>
      </c>
    </row>
    <row r="35" spans="1:1" s="79" customFormat="1" x14ac:dyDescent="0.2">
      <c r="A35" s="79" t="s">
        <v>46</v>
      </c>
    </row>
    <row r="36" spans="1:1" s="79" customFormat="1" x14ac:dyDescent="0.2">
      <c r="A36" s="79" t="s">
        <v>48</v>
      </c>
    </row>
    <row r="37" spans="1:1" s="79" customFormat="1" x14ac:dyDescent="0.2">
      <c r="A37" s="112" t="s">
        <v>121</v>
      </c>
    </row>
    <row r="38" spans="1:1" s="79" customFormat="1" x14ac:dyDescent="0.2">
      <c r="A38" s="79" t="s">
        <v>122</v>
      </c>
    </row>
    <row r="39" spans="1:1" s="79" customFormat="1" x14ac:dyDescent="0.2">
      <c r="A39" s="79" t="s">
        <v>123</v>
      </c>
    </row>
    <row r="40" spans="1:1" s="79" customFormat="1" x14ac:dyDescent="0.2"/>
    <row r="41" spans="1:1" s="79" customFormat="1" x14ac:dyDescent="0.2">
      <c r="A41" s="111" t="s">
        <v>44</v>
      </c>
    </row>
    <row r="42" spans="1:1" s="79" customFormat="1" x14ac:dyDescent="0.2">
      <c r="A42" s="79" t="s">
        <v>118</v>
      </c>
    </row>
    <row r="43" spans="1:1" s="79" customFormat="1" x14ac:dyDescent="0.2">
      <c r="A43" s="79" t="s">
        <v>94</v>
      </c>
    </row>
    <row r="44" spans="1:1" s="79" customFormat="1" x14ac:dyDescent="0.2">
      <c r="A44" s="79" t="s">
        <v>119</v>
      </c>
    </row>
    <row r="45" spans="1:1" s="79" customFormat="1" x14ac:dyDescent="0.2">
      <c r="A45" s="79" t="s">
        <v>120</v>
      </c>
    </row>
    <row r="46" spans="1:1" s="79" customFormat="1" x14ac:dyDescent="0.2">
      <c r="A46" s="79" t="s">
        <v>124</v>
      </c>
    </row>
    <row r="47" spans="1:1" s="79" customFormat="1" x14ac:dyDescent="0.2">
      <c r="A47" s="79" t="s">
        <v>125</v>
      </c>
    </row>
    <row r="48" spans="1:1" s="79" customFormat="1" x14ac:dyDescent="0.2"/>
    <row r="49" spans="1:1" s="79" customFormat="1" x14ac:dyDescent="0.2">
      <c r="A49" s="111" t="s">
        <v>23</v>
      </c>
    </row>
    <row r="50" spans="1:1" s="79" customFormat="1" x14ac:dyDescent="0.2">
      <c r="A50" s="79" t="s">
        <v>55</v>
      </c>
    </row>
    <row r="51" spans="1:1" s="79" customFormat="1" x14ac:dyDescent="0.2">
      <c r="A51" s="79" t="s">
        <v>49</v>
      </c>
    </row>
    <row r="52" spans="1:1" s="79" customFormat="1" x14ac:dyDescent="0.2">
      <c r="A52" s="79" t="s">
        <v>48</v>
      </c>
    </row>
    <row r="53" spans="1:1" s="79" customFormat="1" x14ac:dyDescent="0.2"/>
    <row r="54" spans="1:1" s="79" customFormat="1" x14ac:dyDescent="0.2">
      <c r="A54" s="111" t="s">
        <v>42</v>
      </c>
    </row>
    <row r="55" spans="1:1" s="79" customFormat="1" x14ac:dyDescent="0.2">
      <c r="A55" s="79" t="s">
        <v>52</v>
      </c>
    </row>
    <row r="56" spans="1:1" s="79" customFormat="1" x14ac:dyDescent="0.2">
      <c r="A56" s="79" t="s">
        <v>91</v>
      </c>
    </row>
    <row r="57" spans="1:1" s="79" customFormat="1" x14ac:dyDescent="0.2">
      <c r="A57" s="79" t="s">
        <v>90</v>
      </c>
    </row>
    <row r="58" spans="1:1" s="79" customFormat="1" x14ac:dyDescent="0.2">
      <c r="A58" s="79" t="s">
        <v>167</v>
      </c>
    </row>
    <row r="59" spans="1:1" s="79" customFormat="1" x14ac:dyDescent="0.2">
      <c r="A59" s="79" t="s">
        <v>78</v>
      </c>
    </row>
    <row r="60" spans="1:1" s="79" customFormat="1" x14ac:dyDescent="0.2">
      <c r="A60" s="79" t="s">
        <v>43</v>
      </c>
    </row>
    <row r="61" spans="1:1" s="79" customFormat="1" x14ac:dyDescent="0.2">
      <c r="A61" s="79" t="s">
        <v>165</v>
      </c>
    </row>
    <row r="62" spans="1:1" s="79" customFormat="1" x14ac:dyDescent="0.2">
      <c r="A62" s="79" t="s">
        <v>166</v>
      </c>
    </row>
    <row r="63" spans="1:1" s="79" customFormat="1" x14ac:dyDescent="0.2"/>
    <row r="64" spans="1:1" s="79" customFormat="1" x14ac:dyDescent="0.2">
      <c r="A64" s="111" t="s">
        <v>162</v>
      </c>
    </row>
    <row r="65" spans="1:1" s="79" customFormat="1" x14ac:dyDescent="0.2">
      <c r="A65" s="79" t="s">
        <v>170</v>
      </c>
    </row>
    <row r="66" spans="1:1" s="79" customFormat="1" x14ac:dyDescent="0.2">
      <c r="A66" s="79" t="s">
        <v>163</v>
      </c>
    </row>
    <row r="67" spans="1:1" s="79" customFormat="1" x14ac:dyDescent="0.2">
      <c r="A67" s="79" t="s">
        <v>164</v>
      </c>
    </row>
    <row r="68" spans="1:1" s="79" customFormat="1" x14ac:dyDescent="0.2">
      <c r="A68" s="79" t="s">
        <v>176</v>
      </c>
    </row>
    <row r="69" spans="1:1" s="79" customFormat="1" x14ac:dyDescent="0.2"/>
    <row r="70" spans="1:1" s="79" customFormat="1" x14ac:dyDescent="0.2">
      <c r="A70" s="111" t="s">
        <v>82</v>
      </c>
    </row>
    <row r="71" spans="1:1" s="79" customFormat="1" x14ac:dyDescent="0.2">
      <c r="A71" s="79" t="s">
        <v>161</v>
      </c>
    </row>
    <row r="72" spans="1:1" s="79" customFormat="1" x14ac:dyDescent="0.2"/>
    <row r="73" spans="1:1" s="79" customFormat="1" x14ac:dyDescent="0.2">
      <c r="A73" s="111" t="s">
        <v>79</v>
      </c>
    </row>
    <row r="74" spans="1:1" s="79" customFormat="1" x14ac:dyDescent="0.2">
      <c r="A74" s="79" t="s">
        <v>100</v>
      </c>
    </row>
    <row r="75" spans="1:1" s="79" customFormat="1" x14ac:dyDescent="0.2">
      <c r="A75" s="79" t="s">
        <v>101</v>
      </c>
    </row>
    <row r="76" spans="1:1" s="79" customFormat="1" x14ac:dyDescent="0.2">
      <c r="A76" s="79" t="s">
        <v>102</v>
      </c>
    </row>
    <row r="77" spans="1:1" s="79" customFormat="1" x14ac:dyDescent="0.2">
      <c r="A77" s="79" t="s">
        <v>80</v>
      </c>
    </row>
    <row r="78" spans="1:1" s="79" customFormat="1" x14ac:dyDescent="0.2"/>
    <row r="79" spans="1:1" s="79" customFormat="1" x14ac:dyDescent="0.2"/>
    <row r="80" spans="1:1" s="79" customFormat="1" x14ac:dyDescent="0.2"/>
    <row r="81" s="79" customFormat="1" x14ac:dyDescent="0.2"/>
    <row r="82" s="79" customFormat="1" x14ac:dyDescent="0.2"/>
    <row r="83" s="79" customFormat="1" x14ac:dyDescent="0.2"/>
    <row r="84" s="79" customFormat="1" x14ac:dyDescent="0.2"/>
    <row r="85" s="79" customFormat="1" x14ac:dyDescent="0.2"/>
    <row r="86" s="79" customFormat="1" x14ac:dyDescent="0.2"/>
    <row r="87" s="79" customFormat="1" x14ac:dyDescent="0.2"/>
  </sheetData>
  <sheetProtection algorithmName="SHA-512" hashValue="VxMosv4Qy5nzNvuwqLOY7+G+Kj8Zp368k58X4IosDa+MFZRuDm4SUJlgy3XjdVNqYPQYn9M64yUUpP8Z3oWefg==" saltValue="lNWOotTKzPHsyxVPrJi7kA==" spinCount="100000" sheet="1"/>
  <mergeCells count="2">
    <mergeCell ref="D1:F1"/>
    <mergeCell ref="G1:I1"/>
  </mergeCells>
  <phoneticPr fontId="18" type="noConversion"/>
  <printOptions horizontalCentered="1" verticalCentered="1"/>
  <pageMargins left="0.52" right="0.43" top="0.98425196850393704" bottom="0.98425196850393704" header="0.5" footer="0.51181102362204722"/>
  <pageSetup paperSize="9" scale="72" orientation="portrait" horizontalDpi="1200" verticalDpi="1200" r:id="rId1"/>
  <headerFooter alignWithMargins="0">
    <oddFooter>&amp;R&amp;8&amp;F/&amp;A</oddFooter>
  </headerFooter>
  <cellWatches>
    <cellWatch r="A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Anlagenberechnung</vt:lpstr>
      <vt:lpstr>Bedienungsanleitung</vt:lpstr>
      <vt:lpstr>Anlagenberechnung!Druckbereich</vt:lpstr>
    </vt:vector>
  </TitlesOfParts>
  <Company>Ollesch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GDRkap_v1_2</dc:title>
  <dc:subject>Kapazitätsüberprüfung GDRM</dc:subject>
  <dc:creator>Ollesch</dc:creator>
  <dc:description>04_03_08b</dc:description>
  <cp:lastModifiedBy>Volker Ollesch</cp:lastModifiedBy>
  <cp:lastPrinted>2024-01-29T15:16:23Z</cp:lastPrinted>
  <dcterms:created xsi:type="dcterms:W3CDTF">2006-12-31T06:35:20Z</dcterms:created>
  <dcterms:modified xsi:type="dcterms:W3CDTF">2024-06-04T08:41:37Z</dcterms:modified>
</cp:coreProperties>
</file>