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VGW\2024_Berechnungstools\tools\"/>
    </mc:Choice>
  </mc:AlternateContent>
  <xr:revisionPtr revIDLastSave="0" documentId="8_{322B6613-41DA-4664-8565-A8E962978646}" xr6:coauthVersionLast="47" xr6:coauthVersionMax="47" xr10:uidLastSave="{00000000-0000-0000-0000-000000000000}"/>
  <workbookProtection workbookPassword="CE88" lockStructure="1"/>
  <bookViews>
    <workbookView xWindow="-31110" yWindow="4245" windowWidth="26205" windowHeight="15270" xr2:uid="{00000000-000D-0000-FFFF-FFFF00000000}"/>
  </bookViews>
  <sheets>
    <sheet name="Anlagenberechnung" sheetId="1" r:id="rId1"/>
    <sheet name="Bedienungsanleitung" sheetId="2" r:id="rId2"/>
  </sheets>
  <definedNames>
    <definedName name="_xlnm.Print_Area" localSheetId="0">Anlagenberechnung!$A$1:$J$77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1" l="1"/>
  <c r="H12" i="1"/>
  <c r="E33" i="1"/>
  <c r="A51" i="1" s="1"/>
  <c r="A53" i="1" s="1"/>
  <c r="I65" i="1"/>
  <c r="J65" i="1"/>
  <c r="J66" i="1"/>
  <c r="I64" i="1"/>
  <c r="I66" i="1"/>
  <c r="H66" i="1"/>
  <c r="G66" i="1"/>
  <c r="G65" i="1"/>
  <c r="F22" i="1"/>
  <c r="G52" i="1" s="1"/>
  <c r="F25" i="1"/>
  <c r="I31" i="1" s="1"/>
  <c r="J25" i="1" s="1"/>
  <c r="F21" i="1"/>
  <c r="D58" i="1"/>
  <c r="G45" i="1"/>
  <c r="G47" i="1" s="1"/>
  <c r="G46" i="1"/>
  <c r="G44" i="1"/>
  <c r="H40" i="1"/>
  <c r="C45" i="1"/>
  <c r="C47" i="1" s="1"/>
  <c r="C44" i="1"/>
  <c r="C43" i="1"/>
  <c r="D40" i="1"/>
  <c r="E12" i="1"/>
  <c r="B27" i="1"/>
  <c r="C51" i="1"/>
  <c r="C53" i="1"/>
  <c r="C52" i="1" s="1"/>
  <c r="C54" i="1" s="1"/>
  <c r="C55" i="1"/>
  <c r="J72" i="1"/>
  <c r="C56" i="1"/>
  <c r="D56" i="1" s="1"/>
  <c r="F24" i="1"/>
  <c r="I30" i="1"/>
  <c r="J32" i="1" s="1"/>
  <c r="J33" i="1" s="1"/>
  <c r="B26" i="1"/>
  <c r="I28" i="1" s="1"/>
  <c r="H71" i="1"/>
  <c r="G43" i="1" l="1"/>
  <c r="C46" i="1"/>
  <c r="A52" i="1"/>
  <c r="A55" i="1"/>
  <c r="A54" i="1"/>
  <c r="B11" i="1"/>
  <c r="I36" i="1" l="1"/>
  <c r="I37" i="1"/>
  <c r="H37" i="1"/>
  <c r="B61" i="1"/>
  <c r="C61" i="1" s="1"/>
  <c r="D61" i="1" s="1"/>
  <c r="I70" i="1" s="1"/>
  <c r="H36" i="1"/>
  <c r="H65" i="1"/>
  <c r="B13" i="1"/>
  <c r="B45" i="1"/>
  <c r="B44" i="1" s="1"/>
  <c r="B53" i="1"/>
  <c r="B52" i="1" s="1"/>
  <c r="G61" i="1"/>
  <c r="G62" i="1" s="1"/>
  <c r="J37" i="1" l="1"/>
  <c r="B60" i="1"/>
  <c r="B59" i="1" s="1"/>
  <c r="B62" i="1"/>
  <c r="C62" i="1" s="1"/>
  <c r="D62" i="1" s="1"/>
  <c r="J36" i="1"/>
  <c r="I26" i="1" s="1"/>
  <c r="D45" i="1"/>
  <c r="E45" i="1" s="1"/>
  <c r="I67" i="1" s="1"/>
  <c r="A71" i="1"/>
  <c r="B71" i="1" s="1"/>
  <c r="C71" i="1" s="1"/>
  <c r="I76" i="1" s="1"/>
  <c r="H45" i="1"/>
  <c r="I45" i="1" s="1"/>
  <c r="I69" i="1" s="1"/>
  <c r="B46" i="1"/>
  <c r="H46" i="1" s="1"/>
  <c r="I46" i="1" s="1"/>
  <c r="J46" i="1" s="1"/>
  <c r="B54" i="1"/>
  <c r="B55" i="1" s="1"/>
  <c r="D53" i="1"/>
  <c r="E53" i="1" s="1"/>
  <c r="I68" i="1" s="1"/>
  <c r="I61" i="1"/>
  <c r="I72" i="1" s="1"/>
  <c r="G60" i="1"/>
  <c r="G59" i="1" s="1"/>
  <c r="I59" i="1" s="1"/>
  <c r="J59" i="1" s="1"/>
  <c r="I62" i="1"/>
  <c r="J62" i="1" s="1"/>
  <c r="G63" i="1"/>
  <c r="I63" i="1" s="1"/>
  <c r="J63" i="1" s="1"/>
  <c r="D44" i="1"/>
  <c r="E44" i="1" s="1"/>
  <c r="F44" i="1" s="1"/>
  <c r="B43" i="1"/>
  <c r="H44" i="1"/>
  <c r="I44" i="1" s="1"/>
  <c r="J44" i="1" s="1"/>
  <c r="A70" i="1"/>
  <c r="B70" i="1" s="1"/>
  <c r="C70" i="1" s="1"/>
  <c r="B51" i="1"/>
  <c r="D52" i="1"/>
  <c r="E52" i="1" s="1"/>
  <c r="F52" i="1" s="1"/>
  <c r="D46" i="1" l="1"/>
  <c r="E46" i="1" s="1"/>
  <c r="F46" i="1" s="1"/>
  <c r="B63" i="1"/>
  <c r="C63" i="1" s="1"/>
  <c r="D63" i="1" s="1"/>
  <c r="C60" i="1"/>
  <c r="D60" i="1" s="1"/>
  <c r="A72" i="1"/>
  <c r="B72" i="1" s="1"/>
  <c r="C72" i="1" s="1"/>
  <c r="F45" i="1"/>
  <c r="C59" i="1"/>
  <c r="D59" i="1" s="1"/>
  <c r="B47" i="1"/>
  <c r="A73" i="1" s="1"/>
  <c r="B73" i="1" s="1"/>
  <c r="C73" i="1" s="1"/>
  <c r="D54" i="1"/>
  <c r="E54" i="1" s="1"/>
  <c r="F54" i="1" s="1"/>
  <c r="J45" i="1"/>
  <c r="I60" i="1"/>
  <c r="J60" i="1" s="1"/>
  <c r="F53" i="1"/>
  <c r="J61" i="1"/>
  <c r="I73" i="1" s="1"/>
  <c r="D51" i="1"/>
  <c r="E51" i="1" s="1"/>
  <c r="F51" i="1" s="1"/>
  <c r="D55" i="1"/>
  <c r="E55" i="1" s="1"/>
  <c r="F55" i="1" s="1"/>
  <c r="A69" i="1"/>
  <c r="B69" i="1" s="1"/>
  <c r="C69" i="1" s="1"/>
  <c r="H43" i="1"/>
  <c r="I43" i="1" s="1"/>
  <c r="J43" i="1" s="1"/>
  <c r="D43" i="1"/>
  <c r="E43" i="1" s="1"/>
  <c r="F43" i="1" s="1"/>
  <c r="J26" i="1" l="1"/>
  <c r="D47" i="1"/>
  <c r="E47" i="1" s="1"/>
  <c r="F47" i="1" s="1"/>
  <c r="H47" i="1"/>
  <c r="I47" i="1" s="1"/>
  <c r="J47" i="1" s="1"/>
  <c r="I29" i="1" l="1"/>
  <c r="G53" i="1" l="1"/>
  <c r="I74" i="1" s="1"/>
  <c r="H54" i="1" l="1"/>
  <c r="I54" i="1" s="1"/>
  <c r="J54" i="1" s="1"/>
  <c r="H51" i="1"/>
  <c r="I51" i="1" s="1"/>
  <c r="J51" i="1" s="1"/>
  <c r="H55" i="1"/>
  <c r="I55" i="1" s="1"/>
  <c r="J55" i="1" s="1"/>
  <c r="H74" i="1"/>
  <c r="H50" i="1" s="1"/>
  <c r="H53" i="1"/>
  <c r="I53" i="1" s="1"/>
  <c r="J53" i="1" s="1"/>
  <c r="H52" i="1"/>
  <c r="I52" i="1" s="1"/>
  <c r="J52" i="1" s="1"/>
  <c r="H77" i="1" l="1"/>
  <c r="I77" i="1"/>
  <c r="I75" i="1"/>
  <c r="J75" i="1"/>
  <c r="J50" i="1"/>
  <c r="J74" i="1"/>
  <c r="J49" i="1"/>
  <c r="I49" i="1"/>
  <c r="I50" i="1"/>
  <c r="J77" i="1"/>
  <c r="H75" i="1"/>
  <c r="H49" i="1"/>
</calcChain>
</file>

<file path=xl/sharedStrings.xml><?xml version="1.0" encoding="utf-8"?>
<sst xmlns="http://schemas.openxmlformats.org/spreadsheetml/2006/main" count="255" uniqueCount="191">
  <si>
    <t>Projekt:</t>
  </si>
  <si>
    <t>m/s</t>
  </si>
  <si>
    <t>bar</t>
  </si>
  <si>
    <t>Druckdifferenz:</t>
  </si>
  <si>
    <t>maximal:</t>
  </si>
  <si>
    <t>minimal:</t>
  </si>
  <si>
    <t>dt/dp=</t>
  </si>
  <si>
    <t>°C/bar</t>
  </si>
  <si>
    <t>cp=</t>
  </si>
  <si>
    <t>kJ/(kg*K)</t>
  </si>
  <si>
    <t>Wirkungsgrad Heizung:</t>
  </si>
  <si>
    <t>%</t>
  </si>
  <si>
    <t>Eingangstemperatur=</t>
  </si>
  <si>
    <t>°C</t>
  </si>
  <si>
    <t>Ausgangstemperatur=</t>
  </si>
  <si>
    <t>D soll</t>
  </si>
  <si>
    <t>D gewählt</t>
  </si>
  <si>
    <t>somit ve</t>
  </si>
  <si>
    <t>somit va</t>
  </si>
  <si>
    <t>mm</t>
  </si>
  <si>
    <t>zulässige SAV-Nennweite:</t>
  </si>
  <si>
    <t>Vorwärmer</t>
  </si>
  <si>
    <t>Zusammenfassung:</t>
  </si>
  <si>
    <t>pa/pe min =</t>
  </si>
  <si>
    <t>Eingangsnennweite:</t>
  </si>
  <si>
    <t>SAV-Nennweite:</t>
  </si>
  <si>
    <t>Ausgangsnennweite:</t>
  </si>
  <si>
    <t>Filterfläche:</t>
  </si>
  <si>
    <t>Filterleistung:</t>
  </si>
  <si>
    <t>Filterfäche</t>
  </si>
  <si>
    <t>m²</t>
  </si>
  <si>
    <t>Rohrleitungen</t>
  </si>
  <si>
    <t>das Arbeitsblatt berechnet auf dieser Grundlage unter Berücksichtigung des minimalen Eingangsdruckes</t>
  </si>
  <si>
    <t>Sicherheitsabsperrventile</t>
  </si>
  <si>
    <t>Fließgeschwindigkeit im Durchgangs-SAV (ohne Strömungsumkehr): 70 m/s.</t>
  </si>
  <si>
    <t>Fließgeschwindigkeit im Umlenk-SAV (mit Strömungsumkehr): 50 m/s.</t>
  </si>
  <si>
    <t>Das Arbeitsblatt berechnet auf dieser Grundlage unter Berücksichtigung des minimalen Eingangsdruckes</t>
  </si>
  <si>
    <t>die maximale Leistung in Normkubikmetern / Stunde.</t>
  </si>
  <si>
    <t>Regelgerät</t>
  </si>
  <si>
    <t>Gaszähler</t>
  </si>
  <si>
    <t>Filter</t>
  </si>
  <si>
    <t>Vorgabewert für die zulässige Flächenbelastung des Filters: 150 Betriebskubikmeter pro m² Filterfläche und Stunde.</t>
  </si>
  <si>
    <t>Zur Berechnung  der Leistungsfähigkeit der Vorwärmanlage wird die kW-Leistung des Vorwärmers,</t>
  </si>
  <si>
    <t>ersatzweise die Heizkesselleistung benötigt.</t>
  </si>
  <si>
    <t xml:space="preserve">Die spezifische Wärmekapazität cp und die spezifische Temperaturänderung ∆t/∆p sind Vorschlagswerte hinterlegt, </t>
  </si>
  <si>
    <t>Für die Übertragungsverluste vom Kessel zum Vorwärmer kann ein Wirkungsgrad (i.d.R. 90 %) definiert werden.</t>
  </si>
  <si>
    <t>Die grau unterlegten Felder müssen mit den spezifischen Anforderungswerten ausgefüllt werden.</t>
  </si>
  <si>
    <t>-Eingangsnennweite</t>
  </si>
  <si>
    <t>-Ausgangsnennweite</t>
  </si>
  <si>
    <t>-SAV-Nennweite</t>
  </si>
  <si>
    <t>-Filterfläche</t>
  </si>
  <si>
    <t>-Vorwärmerleistung</t>
  </si>
  <si>
    <t>-Heizkesselleistung</t>
  </si>
  <si>
    <t>und des Ausgangsdruckes die notwendige Nennweite.</t>
  </si>
  <si>
    <t>die notwendige Nennweite.</t>
  </si>
  <si>
    <t>und "benötigte Leistung" berechnet.</t>
  </si>
  <si>
    <t>Dieser Vorgabewert kann auch geändert werden.</t>
  </si>
  <si>
    <t xml:space="preserve">Um die Dimensionierung der GDRM-Anlage auch beim nächstgrößeren bzw. nächstkleineren Leistungswerten </t>
  </si>
  <si>
    <t xml:space="preserve">Schrittweite </t>
  </si>
  <si>
    <t>zu überprüfen kann bei der der Vorgabe der Anlagenbelastung eine</t>
  </si>
  <si>
    <t>eingegeben werden. Hierdurch können z.B. notwendige Nennweitensprünge beurteilt werden.</t>
  </si>
  <si>
    <t>D = Durchgangs-SAV</t>
  </si>
  <si>
    <t>U = Umlenk - SAV</t>
  </si>
  <si>
    <t>Haftungsauschluß</t>
  </si>
  <si>
    <t>Haftungsansprüche aus der Verwendung sind ausgeschlossen.</t>
  </si>
  <si>
    <t>bitte die grau hinterlegten Felder ausfüllen</t>
  </si>
  <si>
    <t>bitte die schraffierten Felder nur bei Bedarf ändern, ansonsten Vorschlagswert übernehmen</t>
  </si>
  <si>
    <t>L-Gas</t>
  </si>
  <si>
    <t>H-Gas</t>
  </si>
  <si>
    <t>(gem. G 499)</t>
  </si>
  <si>
    <t>Vorschlagswerte</t>
  </si>
  <si>
    <t>Normdichte=</t>
  </si>
  <si>
    <t>somit v max SAV=</t>
  </si>
  <si>
    <t xml:space="preserve">m/s </t>
  </si>
  <si>
    <t>Leistungswert=</t>
  </si>
  <si>
    <t>ggf. können die Werte für L- bzw. H-Gas angepaßt werden (Vorschlagswerte siehe DVGW-Arbeitsblatt G 499).</t>
  </si>
  <si>
    <t>Je nach Gasqualität wird der Wert "Normdichte" angepaßt.</t>
  </si>
  <si>
    <t>Autor + ©</t>
  </si>
  <si>
    <t>wird berechnet, wobei von  folgenden Rahmenbedingungen ausgegangen wird:</t>
  </si>
  <si>
    <t>Die Anlagendimensionierung in Bezug auf:</t>
  </si>
  <si>
    <t>Gemäß EN 334 sollte noch eine Leistungsreserve berücksichtigt werden, die EN 334 empfiehlt 10%.</t>
  </si>
  <si>
    <t>max. Zählerbelastung</t>
  </si>
  <si>
    <t>max. Zählerbelastung:</t>
  </si>
  <si>
    <t>Druckverhältnis)</t>
  </si>
  <si>
    <t xml:space="preserve">© V. Ollesch </t>
  </si>
  <si>
    <t>Bedienungsanleitung</t>
  </si>
  <si>
    <t>Die schraffierten Felder bitte nur bei Bedarf ändern, ansonsten Vorschlagswert übernehmen</t>
  </si>
  <si>
    <t>Eingangsdruckteil:</t>
  </si>
  <si>
    <t>Ausgangsdruckteil:</t>
  </si>
  <si>
    <t>Zählerbelastung:</t>
  </si>
  <si>
    <t>Schrittweite=</t>
  </si>
  <si>
    <t>Pe min</t>
  </si>
  <si>
    <t>Zählertyp</t>
  </si>
  <si>
    <t>Zählertyp:</t>
  </si>
  <si>
    <t>Entsprechend der Normreihe für Gaszähler wird ein Zählertyp ausgewählt.</t>
  </si>
  <si>
    <t>-Zählergröße &amp; maximale Zählerbelastung</t>
  </si>
  <si>
    <t>Für die Gas-Eintritts- und -Austrittstemperatur sind Vorschlagswerte 5°C und 2°C hinterlegt.</t>
  </si>
  <si>
    <t>Bauart des SAVs:</t>
  </si>
  <si>
    <t>Zähler im Eingangsdruck (E) oder Ausgangsdruck (A) oder kein Zähler (K):</t>
  </si>
  <si>
    <t>Die maximale Zählergröße ist G 100.000; die minimale Zählergröße ist G 2,5.</t>
  </si>
  <si>
    <r>
      <t>m³ Vn</t>
    </r>
    <r>
      <rPr>
        <sz val="10"/>
        <rFont val="MS Sans Serif"/>
      </rPr>
      <t>/h</t>
    </r>
  </si>
  <si>
    <t>m³ Vn/h</t>
  </si>
  <si>
    <t>m³ Vb/h</t>
  </si>
  <si>
    <t>somit m³ Vb/h</t>
  </si>
  <si>
    <t>m³ Vb/h pro m² Filterfläche</t>
  </si>
  <si>
    <t>somit v SAV</t>
  </si>
  <si>
    <t xml:space="preserve"> Leistung</t>
  </si>
  <si>
    <t xml:space="preserve"> Durchgangs-SAV v max=</t>
  </si>
  <si>
    <t xml:space="preserve"> Umlenk-SAV v max=</t>
  </si>
  <si>
    <t>Das Berechnungstool wird interessierten Anwendern kostenfrei vom Autor zur Verfügung gestellt.</t>
  </si>
  <si>
    <t>Es wird keine Gewähr für die Richtigkeit der Berechnungsergebnisse übernommen.</t>
  </si>
  <si>
    <t>Weitergabe / Kopie / Modifikation sind nur mit schriftlicher Zustimmung des Autors gestattet.</t>
  </si>
  <si>
    <t>Die jeweiligen Herstellerangaben sind zu beachten, ggf. die Vorgaben herstellerspezifisch ändern !</t>
  </si>
  <si>
    <t>Eingang Rohrleitung v max=</t>
  </si>
  <si>
    <t>Ausgang Rohrleitung v max=</t>
  </si>
  <si>
    <t>v max=</t>
  </si>
  <si>
    <t>kg/m³</t>
  </si>
  <si>
    <t>Empfohlene Fließgeschwindigkeit in der Ein-  bzw. Ausgangsleitung: 20 m/s,</t>
  </si>
  <si>
    <t>Die Vorgabewerte zur Fließgeschwindigkeit können für Eingangs- und Ausgangsleitung angepasst werden.</t>
  </si>
  <si>
    <t>Dimensionierung Gas- Druckregel- und Meßanlage</t>
  </si>
  <si>
    <t xml:space="preserve"> SAV v max</t>
  </si>
  <si>
    <t>KG-Wert Regler:</t>
  </si>
  <si>
    <r>
      <t>K</t>
    </r>
    <r>
      <rPr>
        <sz val="8.5"/>
        <rFont val="MS Sans Serif"/>
        <family val="2"/>
      </rPr>
      <t>G</t>
    </r>
    <r>
      <rPr>
        <sz val="10"/>
        <rFont val="MS Sans Serif"/>
      </rPr>
      <t>-Wert</t>
    </r>
  </si>
  <si>
    <r>
      <t>%</t>
    </r>
    <r>
      <rPr>
        <sz val="9"/>
        <rFont val="MS Sans Serif"/>
        <family val="2"/>
      </rPr>
      <t xml:space="preserve"> (10% nach EN 334)</t>
    </r>
  </si>
  <si>
    <t>mit Zuschlag</t>
  </si>
  <si>
    <r>
      <t>Sicherheitszuschlag K</t>
    </r>
    <r>
      <rPr>
        <sz val="8.5"/>
        <rFont val="MS Sans Serif"/>
        <family val="2"/>
      </rPr>
      <t>G</t>
    </r>
    <r>
      <rPr>
        <sz val="10"/>
        <rFont val="MS Sans Serif"/>
      </rPr>
      <t>-Wert Regler=</t>
    </r>
  </si>
  <si>
    <t>Gaszähler bis Qmax (=1,6 * Qnenn) belasten ?</t>
  </si>
  <si>
    <t>(j=ja, n=nein)</t>
  </si>
  <si>
    <t>Datum:</t>
  </si>
  <si>
    <t>einer Gas-Druckregel- und Messanlage.</t>
  </si>
  <si>
    <t>Auch der Druckverlust vom Eingang der GDRM bis zum Regler wird durch diesen Sicherheitszuschlag berücksichtigt.</t>
  </si>
  <si>
    <t>Die maximale Zählerbelastung der Gasmessanlage wird berechnet.</t>
  </si>
  <si>
    <t>Hierzu werden die Angaben Anlagenleistung und Messort (Eingang oder Ausgang) benötigt.</t>
  </si>
  <si>
    <t>somit Normdichte Erdgas=</t>
  </si>
  <si>
    <t>benötigte Wärmetauscher-Leistung:</t>
  </si>
  <si>
    <t>entspricht:</t>
  </si>
  <si>
    <t>Heizwert Ho=</t>
  </si>
  <si>
    <t>kWh/m³</t>
  </si>
  <si>
    <t>somit Heizwert Erdgas=</t>
  </si>
  <si>
    <t>Heizwert=</t>
  </si>
  <si>
    <t>Gasqualität Erdgas (L oder H-Gas):</t>
  </si>
  <si>
    <r>
      <t>K</t>
    </r>
    <r>
      <rPr>
        <sz val="10"/>
        <rFont val="Bahnschrift"/>
        <family val="2"/>
      </rPr>
      <t>G</t>
    </r>
    <r>
      <rPr>
        <sz val="12"/>
        <rFont val="Bahnschrift"/>
        <family val="2"/>
      </rPr>
      <t>-Wert Regler:</t>
    </r>
  </si>
  <si>
    <t>Wasserstoff-Anteil:</t>
  </si>
  <si>
    <t>H2-ready</t>
  </si>
  <si>
    <t>Vorwärmer auch bei delta-P kleiner/gleich 16 bar ?</t>
  </si>
  <si>
    <t>Wasserstoff</t>
  </si>
  <si>
    <t>Bearbeiter/in:</t>
  </si>
  <si>
    <t>MW</t>
  </si>
  <si>
    <t>OPu, min</t>
  </si>
  <si>
    <t>Opd</t>
  </si>
  <si>
    <t>Opu,max=</t>
  </si>
  <si>
    <t>OPu,min=</t>
  </si>
  <si>
    <t>Opd=</t>
  </si>
  <si>
    <t xml:space="preserve">Das Excel-Arbeitsblatt "GDRdim_H2" berechnet die Dimensionierung  </t>
  </si>
  <si>
    <t>Die mögliche Zumischung von Wasserstoff kann prozentual berücksichtigt werden.</t>
  </si>
  <si>
    <t>Die hellgrün hinterlegten Felder definieren die Wasserstoff-spezifischen Kennwerte</t>
  </si>
  <si>
    <t>Berechnungsergebnis</t>
  </si>
  <si>
    <t>Während bisher in [m³Vn/h] gerechnet wurde wird bei H2-Beimischung die Anlagenleistung in</t>
  </si>
  <si>
    <t xml:space="preserve">[MW] definiert, damit die Leistung ohne und mit H2-Beimischung vergleichbar ist. </t>
  </si>
  <si>
    <t>m³-Werte werden nur noch zur Info  parallel berechnet.</t>
  </si>
  <si>
    <t>Die Leistungsfähigkeit der Anlage ergibt sich aus dem minimalen Leistungswert der Einzelkomponenten.</t>
  </si>
  <si>
    <t>Liegen keine Informationen zu einem einzelnen Bauteil vor, so wird der Leistungswert "0" ausgegeben.</t>
  </si>
  <si>
    <r>
      <t>Berechnungsergebnis:</t>
    </r>
    <r>
      <rPr>
        <sz val="11"/>
        <rFont val="Arial"/>
        <family val="2"/>
      </rPr>
      <t xml:space="preserve"> </t>
    </r>
  </si>
  <si>
    <r>
      <t>-k</t>
    </r>
    <r>
      <rPr>
        <vertAlign val="subscript"/>
        <sz val="11"/>
        <rFont val="Arial"/>
        <family val="2"/>
      </rPr>
      <t>G</t>
    </r>
    <r>
      <rPr>
        <sz val="11"/>
        <rFont val="Arial"/>
        <family val="2"/>
      </rPr>
      <t>-Wert des Regelgerätes</t>
    </r>
  </si>
  <si>
    <r>
      <t>Der Leistungskennwert des Regelgerätes (K</t>
    </r>
    <r>
      <rPr>
        <vertAlign val="subscript"/>
        <sz val="11"/>
        <rFont val="Arial"/>
        <family val="2"/>
      </rPr>
      <t>G</t>
    </r>
    <r>
      <rPr>
        <sz val="11"/>
        <rFont val="Arial"/>
        <family val="2"/>
      </rPr>
      <t>-Wert) wird mit Hilfe der Parameter "minimaler Eingangsdruck"</t>
    </r>
  </si>
  <si>
    <r>
      <t>Hierbei werden je nach Verhältnis p</t>
    </r>
    <r>
      <rPr>
        <vertAlign val="subscript"/>
        <sz val="11"/>
        <rFont val="Arial"/>
        <family val="2"/>
      </rPr>
      <t>a</t>
    </r>
    <r>
      <rPr>
        <sz val="11"/>
        <rFont val="Arial"/>
        <family val="2"/>
      </rPr>
      <t>/p</t>
    </r>
    <r>
      <rPr>
        <vertAlign val="subscript"/>
        <sz val="11"/>
        <rFont val="Arial"/>
        <family val="2"/>
      </rPr>
      <t>emin</t>
    </r>
    <r>
      <rPr>
        <sz val="11"/>
        <rFont val="Arial"/>
        <family val="2"/>
      </rPr>
      <t xml:space="preserve"> die Gleichungen für unter- oder überkritisches Druckverhältnis verwendet.</t>
    </r>
  </si>
  <si>
    <t>In Bezug auf die Anlagenleistung erfolgt die Definition des Leistungswertes in [MW].</t>
  </si>
  <si>
    <t xml:space="preserve">Volker Ollesch, Bielefeld </t>
  </si>
  <si>
    <t>GDRdim_H2</t>
  </si>
  <si>
    <t>Stoffwerte</t>
  </si>
  <si>
    <t>Die Stoffwerte CeH4/Erdgas und H2 werden in den Berechnungstools</t>
  </si>
  <si>
    <t>in Abhängigkeit von der H2-Beimischung linear interpoliert.</t>
  </si>
  <si>
    <t>Wasserstoff hat einen negativen Joule-Thomsen-Koeffizienten.</t>
  </si>
  <si>
    <t xml:space="preserve"> Energieinhalt Mischgas zu Erdgas:</t>
  </si>
  <si>
    <t xml:space="preserve"> Kennwerte Mischgas:</t>
  </si>
  <si>
    <t xml:space="preserve"> relative Dichte=</t>
  </si>
  <si>
    <t xml:space="preserve"> Korrekturfaktor KG-Wert:</t>
  </si>
  <si>
    <t>Ab einer Beimischung von ca. 90% H2 zum Erdgas wird  keine Vorwärmung mehr benötigt.</t>
  </si>
  <si>
    <t>E</t>
  </si>
  <si>
    <t>H</t>
  </si>
  <si>
    <t>H2</t>
  </si>
  <si>
    <t>Erdgas</t>
  </si>
  <si>
    <t>Summe</t>
  </si>
  <si>
    <t>Massen-%:</t>
  </si>
  <si>
    <t>#F6FECE</t>
  </si>
  <si>
    <r>
      <t>GDRdim_H2_</t>
    </r>
    <r>
      <rPr>
        <b/>
        <sz val="12"/>
        <rFont val="Arial"/>
        <family val="2"/>
      </rPr>
      <t>beta04</t>
    </r>
  </si>
  <si>
    <t>Massenströme, Volumenströme:</t>
  </si>
  <si>
    <t>j</t>
  </si>
  <si>
    <t>Musteranlage</t>
  </si>
  <si>
    <t>Mustermann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</si>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</sst>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0.000"/>
    <numFmt numFmtId="165" formatCode="0.0"/>
    <numFmt numFmtId="166" formatCode="#,##0.0"/>
    <numFmt numFmtId="167" formatCode="&quot;G&quot;\ #,##0"/>
    <numFmt numFmtId="168" formatCode="#,##0\ "/>
    <numFmt numFmtId="169" formatCode="0.0\ &quot;faches der Zäher-Nennbelastung als Maximalbelastung&quot;"/>
    <numFmt numFmtId="170" formatCode="&quot;somit&quot;\ 0.0\ &quot;faches der Zähler-Nennbelastung als Maximalbelastung&quot;\ "/>
    <numFmt numFmtId="171" formatCode="#,##0.000"/>
    <numFmt numFmtId="172" formatCode="#,##0.0\ "/>
    <numFmt numFmtId="173" formatCode="0.0\ \V\o\l%"/>
    <numFmt numFmtId="174" formatCode="0.0&quot; %thermisch&quot;"/>
    <numFmt numFmtId="175" formatCode="0.00\ &quot;MW&quot;"/>
    <numFmt numFmtId="176" formatCode="0.0\ &quot;Vol%H2&quot;"/>
    <numFmt numFmtId="177" formatCode="&quot;OPu, max: &quot;###.00\ &quot;bar&quot;"/>
    <numFmt numFmtId="178" formatCode="&quot;OPd: &quot;##0.000\ &quot;bar&quot;"/>
    <numFmt numFmtId="179" formatCode="#,##0\ &quot;m³Vn/h&quot;"/>
    <numFmt numFmtId="180" formatCode="&quot;OPu, min: &quot;###.00\ &quot;bar&quot;"/>
    <numFmt numFmtId="181" formatCode="#,##0\ &quot;kg/h&quot;"/>
    <numFmt numFmtId="182" formatCode="0.0\ &quot;% H2&quot;"/>
    <numFmt numFmtId="183" formatCode="0.0\ &quot;Massen%Erdgas&quot;"/>
    <numFmt numFmtId="184" formatCode="#,##0\ &quot;m3Vn/h&quot;"/>
  </numFmts>
  <fonts count="54" x14ac:knownFonts="1">
    <font>
      <sz val="10"/>
      <name val="MS Sans Serif"/>
    </font>
    <font>
      <b/>
      <sz val="10"/>
      <name val="MS Sans Serif"/>
    </font>
    <font>
      <i/>
      <sz val="10"/>
      <name val="MS Sans Serif"/>
    </font>
    <font>
      <b/>
      <i/>
      <sz val="10"/>
      <name val="MS Sans Serif"/>
    </font>
    <font>
      <sz val="10"/>
      <name val="MS Sans Serif"/>
      <family val="2"/>
    </font>
    <font>
      <sz val="7"/>
      <name val="Small Fonts"/>
      <family val="2"/>
    </font>
    <font>
      <b/>
      <i/>
      <sz val="10"/>
      <name val="MS Sans Serif"/>
      <family val="2"/>
    </font>
    <font>
      <sz val="8.5"/>
      <name val="MS Sans Serif"/>
      <family val="2"/>
    </font>
    <font>
      <b/>
      <sz val="10"/>
      <name val="MS Sans Serif"/>
      <family val="2"/>
    </font>
    <font>
      <sz val="12"/>
      <name val="Lucida Console"/>
      <family val="3"/>
    </font>
    <font>
      <sz val="12"/>
      <name val="Arial"/>
      <family val="2"/>
    </font>
    <font>
      <b/>
      <sz val="12"/>
      <name val="Arial"/>
      <family val="2"/>
    </font>
    <font>
      <sz val="8"/>
      <name val="MS Sans Serif"/>
      <family val="2"/>
    </font>
    <font>
      <i/>
      <sz val="10"/>
      <name val="MS Sans Serif"/>
      <family val="2"/>
    </font>
    <font>
      <i/>
      <vertAlign val="superscript"/>
      <sz val="12"/>
      <name val="Arial"/>
      <family val="2"/>
    </font>
    <font>
      <sz val="9"/>
      <name val="Arial"/>
      <family val="2"/>
    </font>
    <font>
      <sz val="10"/>
      <color indexed="59"/>
      <name val="MS Sans Serif"/>
      <family val="2"/>
    </font>
    <font>
      <sz val="10"/>
      <name val="MS Sans Serif"/>
      <family val="2"/>
    </font>
    <font>
      <sz val="8.5"/>
      <name val="Arial"/>
      <family val="2"/>
    </font>
    <font>
      <sz val="10"/>
      <name val="Arial"/>
      <family val="2"/>
    </font>
    <font>
      <sz val="9"/>
      <name val="MS Sans Serif"/>
      <family val="2"/>
    </font>
    <font>
      <sz val="9"/>
      <name val="MS Sans Serif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  <font>
      <b/>
      <sz val="10"/>
      <name val="Bahnschrift"/>
      <family val="2"/>
    </font>
    <font>
      <b/>
      <sz val="9"/>
      <name val="Bahnschrift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MS Sans Serif"/>
    </font>
    <font>
      <i/>
      <sz val="11"/>
      <name val="MS Sans Serif"/>
    </font>
    <font>
      <u/>
      <sz val="11"/>
      <name val="Arial"/>
      <family val="2"/>
    </font>
    <font>
      <vertAlign val="subscript"/>
      <sz val="11"/>
      <name val="Arial"/>
      <family val="2"/>
    </font>
    <font>
      <i/>
      <sz val="10"/>
      <color rgb="FFFF0000"/>
      <name val="MS Sans Serif"/>
    </font>
    <font>
      <b/>
      <sz val="8"/>
      <color theme="1" tint="0.14999847407452621"/>
      <name val="Bahnschrift"/>
      <family val="2"/>
    </font>
    <font>
      <sz val="8"/>
      <color theme="0"/>
      <name val="MS Sans Serif"/>
    </font>
    <font>
      <sz val="10"/>
      <color rgb="FFFF0000"/>
      <name val="MS Sans Serif"/>
      <family val="2"/>
    </font>
    <font>
      <sz val="10"/>
      <color theme="1"/>
      <name val="MS Sans Serif"/>
    </font>
    <font>
      <b/>
      <sz val="9"/>
      <color theme="7" tint="-0.499984740745262"/>
      <name val="Bahnschrift"/>
      <family val="2"/>
    </font>
    <font>
      <sz val="8"/>
      <color theme="1" tint="0.14999847407452621"/>
      <name val="Bahnschrift"/>
      <family val="2"/>
    </font>
    <font>
      <sz val="8"/>
      <color theme="1" tint="0.14999847407452621"/>
      <name val="MS Sans Serif"/>
    </font>
    <font>
      <b/>
      <sz val="10"/>
      <color theme="1"/>
      <name val="MS Sans Serif"/>
    </font>
    <font>
      <b/>
      <sz val="12"/>
      <color indexed="59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 tint="0.249977111117893"/>
      <name val="Arial"/>
      <family val="2"/>
    </font>
    <font>
      <sz val="8"/>
      <name val="MS Sans Serif"/>
    </font>
    <font>
      <i/>
      <sz val="10"/>
      <color theme="0"/>
      <name val="MS Sans Serif"/>
      <family val="2"/>
    </font>
    <font>
      <sz val="10"/>
      <color theme="5" tint="-0.249977111117893"/>
      <name val="MS Sans Serif"/>
    </font>
    <font>
      <b/>
      <sz val="10"/>
      <color theme="5" tint="-0.249977111117893"/>
      <name val="MS Sans Serif"/>
    </font>
  </fonts>
  <fills count="13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gray0625">
        <fgColor indexed="22"/>
      </patternFill>
    </fill>
    <fill>
      <patternFill patternType="solid">
        <fgColor indexed="8"/>
        <bgColor indexed="22"/>
      </patternFill>
    </fill>
    <fill>
      <patternFill patternType="solid">
        <fgColor rgb="FFF6FECE"/>
        <bgColor indexed="64"/>
      </patternFill>
    </fill>
    <fill>
      <patternFill patternType="solid">
        <fgColor theme="0"/>
        <bgColor indexed="22"/>
      </patternFill>
    </fill>
    <fill>
      <patternFill patternType="gray0625">
        <fgColor indexed="22"/>
        <bgColor rgb="FFF6FECE"/>
      </patternFill>
    </fill>
    <fill>
      <patternFill patternType="solid">
        <fgColor indexed="8"/>
        <bgColor rgb="FFC0C0C0"/>
      </patternFill>
    </fill>
    <fill>
      <patternFill patternType="solid">
        <fgColor rgb="FFEAEAEA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0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0">
    <xf numFmtId="0" fontId="0" fillId="0" borderId="0" xfId="0"/>
    <xf numFmtId="0" fontId="0" fillId="0" borderId="1" xfId="0" applyBorder="1" applyProtection="1">
      <protection hidden="1"/>
    </xf>
    <xf numFmtId="0" fontId="8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4" fillId="0" borderId="4" xfId="0" applyFont="1" applyBorder="1" applyProtection="1">
      <protection hidden="1"/>
    </xf>
    <xf numFmtId="3" fontId="4" fillId="0" borderId="0" xfId="0" applyNumberFormat="1" applyFont="1" applyProtection="1">
      <protection hidden="1"/>
    </xf>
    <xf numFmtId="164" fontId="4" fillId="0" borderId="4" xfId="0" applyNumberFormat="1" applyFont="1" applyBorder="1" applyAlignment="1" applyProtection="1">
      <alignment horizontal="center"/>
      <protection hidden="1"/>
    </xf>
    <xf numFmtId="165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2" fontId="2" fillId="0" borderId="5" xfId="0" applyNumberFormat="1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3" fontId="1" fillId="0" borderId="0" xfId="0" applyNumberFormat="1" applyFont="1" applyProtection="1">
      <protection hidden="1"/>
    </xf>
    <xf numFmtId="164" fontId="1" fillId="0" borderId="4" xfId="0" applyNumberFormat="1" applyFont="1" applyBorder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164" fontId="0" fillId="0" borderId="6" xfId="0" applyNumberFormat="1" applyBorder="1" applyAlignment="1" applyProtection="1">
      <alignment horizontal="center"/>
      <protection hidden="1"/>
    </xf>
    <xf numFmtId="165" fontId="0" fillId="0" borderId="7" xfId="0" applyNumberForma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3" fillId="0" borderId="2" xfId="0" applyFont="1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0" fontId="4" fillId="0" borderId="6" xfId="0" applyFont="1" applyBorder="1" applyProtection="1">
      <protection hidden="1"/>
    </xf>
    <xf numFmtId="3" fontId="0" fillId="0" borderId="7" xfId="0" applyNumberFormat="1" applyBorder="1" applyProtection="1">
      <protection hidden="1"/>
    </xf>
    <xf numFmtId="164" fontId="4" fillId="0" borderId="7" xfId="0" applyNumberFormat="1" applyFont="1" applyBorder="1" applyAlignment="1" applyProtection="1">
      <alignment horizontal="center"/>
      <protection hidden="1"/>
    </xf>
    <xf numFmtId="165" fontId="4" fillId="0" borderId="7" xfId="0" applyNumberFormat="1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3" fillId="0" borderId="4" xfId="0" applyFont="1" applyBorder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5" xfId="0" applyBorder="1" applyProtection="1">
      <protection hidden="1"/>
    </xf>
    <xf numFmtId="1" fontId="0" fillId="0" borderId="5" xfId="0" applyNumberFormat="1" applyBorder="1" applyProtection="1">
      <protection hidden="1"/>
    </xf>
    <xf numFmtId="3" fontId="4" fillId="0" borderId="4" xfId="0" applyNumberFormat="1" applyFont="1" applyBorder="1" applyAlignment="1" applyProtection="1">
      <alignment horizontal="center"/>
      <protection hidden="1"/>
    </xf>
    <xf numFmtId="167" fontId="4" fillId="0" borderId="5" xfId="0" applyNumberFormat="1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3" fontId="1" fillId="0" borderId="4" xfId="0" applyNumberFormat="1" applyFont="1" applyBorder="1" applyAlignment="1" applyProtection="1">
      <alignment horizontal="center"/>
      <protection hidden="1"/>
    </xf>
    <xf numFmtId="3" fontId="1" fillId="0" borderId="0" xfId="0" applyNumberFormat="1" applyFont="1" applyAlignment="1" applyProtection="1">
      <alignment horizontal="center"/>
      <protection hidden="1"/>
    </xf>
    <xf numFmtId="3" fontId="0" fillId="0" borderId="4" xfId="0" applyNumberFormat="1" applyBorder="1" applyAlignment="1" applyProtection="1">
      <alignment horizontal="center"/>
      <protection hidden="1"/>
    </xf>
    <xf numFmtId="3" fontId="4" fillId="0" borderId="7" xfId="0" applyNumberFormat="1" applyFont="1" applyBorder="1" applyAlignment="1" applyProtection="1">
      <alignment horizontal="center"/>
      <protection hidden="1"/>
    </xf>
    <xf numFmtId="1" fontId="4" fillId="0" borderId="2" xfId="0" applyNumberFormat="1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right"/>
      <protection hidden="1"/>
    </xf>
    <xf numFmtId="165" fontId="4" fillId="0" borderId="0" xfId="0" applyNumberFormat="1" applyFont="1" applyAlignment="1" applyProtection="1">
      <alignment horizontal="left"/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right"/>
      <protection hidden="1"/>
    </xf>
    <xf numFmtId="2" fontId="3" fillId="0" borderId="9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9" fontId="1" fillId="2" borderId="0" xfId="2" applyFont="1" applyFill="1" applyBorder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righ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2" fontId="8" fillId="0" borderId="10" xfId="0" applyNumberFormat="1" applyFont="1" applyBorder="1" applyProtection="1">
      <protection hidden="1"/>
    </xf>
    <xf numFmtId="1" fontId="4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165" fontId="0" fillId="0" borderId="0" xfId="0" applyNumberForma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165" fontId="3" fillId="0" borderId="5" xfId="0" applyNumberFormat="1" applyFont="1" applyBorder="1" applyAlignment="1" applyProtection="1">
      <alignment horizontal="center"/>
      <protection hidden="1"/>
    </xf>
    <xf numFmtId="165" fontId="2" fillId="0" borderId="11" xfId="0" applyNumberFormat="1" applyFont="1" applyBorder="1" applyAlignment="1" applyProtection="1">
      <alignment horizontal="center"/>
      <protection hidden="1"/>
    </xf>
    <xf numFmtId="3" fontId="4" fillId="0" borderId="0" xfId="1" applyNumberFormat="1" applyFont="1" applyBorder="1" applyAlignment="1" applyProtection="1">
      <alignment horizontal="center"/>
      <protection hidden="1"/>
    </xf>
    <xf numFmtId="3" fontId="8" fillId="0" borderId="0" xfId="1" applyNumberFormat="1" applyFont="1" applyBorder="1" applyAlignment="1" applyProtection="1">
      <alignment horizontal="center"/>
      <protection hidden="1"/>
    </xf>
    <xf numFmtId="3" fontId="4" fillId="0" borderId="4" xfId="1" applyNumberFormat="1" applyFont="1" applyFill="1" applyBorder="1" applyProtection="1">
      <protection hidden="1"/>
    </xf>
    <xf numFmtId="3" fontId="8" fillId="0" borderId="4" xfId="1" applyNumberFormat="1" applyFont="1" applyFill="1" applyBorder="1" applyAlignment="1" applyProtection="1">
      <alignment horizontal="right"/>
      <protection hidden="1"/>
    </xf>
    <xf numFmtId="165" fontId="8" fillId="0" borderId="0" xfId="0" applyNumberFormat="1" applyFont="1" applyAlignment="1" applyProtection="1">
      <alignment horizontal="right"/>
      <protection hidden="1"/>
    </xf>
    <xf numFmtId="166" fontId="0" fillId="0" borderId="0" xfId="1" applyNumberFormat="1" applyFont="1" applyBorder="1" applyAlignment="1" applyProtection="1">
      <alignment horizontal="center"/>
      <protection hidden="1"/>
    </xf>
    <xf numFmtId="166" fontId="8" fillId="0" borderId="0" xfId="1" applyNumberFormat="1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right"/>
      <protection hidden="1"/>
    </xf>
    <xf numFmtId="0" fontId="17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/>
      <protection hidden="1"/>
    </xf>
    <xf numFmtId="3" fontId="4" fillId="0" borderId="7" xfId="1" applyNumberFormat="1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40" fontId="13" fillId="0" borderId="0" xfId="1" applyFont="1" applyAlignment="1" applyProtection="1">
      <alignment horizontal="right"/>
      <protection hidden="1"/>
    </xf>
    <xf numFmtId="9" fontId="0" fillId="0" borderId="0" xfId="2" applyFont="1" applyAlignment="1" applyProtection="1">
      <alignment horizontal="center"/>
      <protection hidden="1"/>
    </xf>
    <xf numFmtId="169" fontId="13" fillId="0" borderId="0" xfId="0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164" fontId="8" fillId="0" borderId="10" xfId="0" applyNumberFormat="1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3" fontId="1" fillId="0" borderId="0" xfId="1" applyNumberFormat="1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1" fontId="0" fillId="0" borderId="0" xfId="0" applyNumberFormat="1" applyProtection="1">
      <protection hidden="1"/>
    </xf>
    <xf numFmtId="0" fontId="22" fillId="0" borderId="12" xfId="0" applyFont="1" applyBorder="1" applyAlignment="1" applyProtection="1">
      <alignment horizontal="left"/>
      <protection hidden="1"/>
    </xf>
    <xf numFmtId="0" fontId="23" fillId="0" borderId="13" xfId="0" applyFont="1" applyBorder="1" applyProtection="1">
      <protection hidden="1"/>
    </xf>
    <xf numFmtId="0" fontId="23" fillId="0" borderId="13" xfId="0" applyFont="1" applyBorder="1" applyAlignment="1" applyProtection="1">
      <alignment horizontal="center"/>
      <protection hidden="1"/>
    </xf>
    <xf numFmtId="1" fontId="23" fillId="0" borderId="13" xfId="0" applyNumberFormat="1" applyFont="1" applyBorder="1" applyProtection="1">
      <protection hidden="1"/>
    </xf>
    <xf numFmtId="168" fontId="22" fillId="0" borderId="0" xfId="1" applyNumberFormat="1" applyFont="1" applyBorder="1" applyAlignment="1" applyProtection="1">
      <alignment horizontal="right"/>
      <protection hidden="1"/>
    </xf>
    <xf numFmtId="166" fontId="22" fillId="0" borderId="0" xfId="1" applyNumberFormat="1" applyFont="1" applyBorder="1" applyAlignment="1" applyProtection="1">
      <alignment horizontal="right"/>
      <protection hidden="1"/>
    </xf>
    <xf numFmtId="0" fontId="23" fillId="0" borderId="0" xfId="0" applyFont="1" applyAlignment="1" applyProtection="1">
      <alignment horizontal="right"/>
      <protection hidden="1"/>
    </xf>
    <xf numFmtId="0" fontId="23" fillId="0" borderId="9" xfId="0" applyFont="1" applyBorder="1" applyAlignment="1" applyProtection="1">
      <alignment horizontal="left"/>
      <protection hidden="1"/>
    </xf>
    <xf numFmtId="1" fontId="23" fillId="0" borderId="0" xfId="0" applyNumberFormat="1" applyFont="1" applyAlignment="1" applyProtection="1">
      <alignment horizontal="left"/>
      <protection hidden="1"/>
    </xf>
    <xf numFmtId="0" fontId="23" fillId="0" borderId="9" xfId="0" applyFont="1" applyBorder="1" applyAlignment="1" applyProtection="1">
      <alignment horizontal="centerContinuous"/>
      <protection hidden="1"/>
    </xf>
    <xf numFmtId="0" fontId="36" fillId="0" borderId="0" xfId="0" applyFont="1" applyAlignment="1" applyProtection="1">
      <alignment horizontal="left"/>
      <protection hidden="1"/>
    </xf>
    <xf numFmtId="2" fontId="22" fillId="0" borderId="0" xfId="0" applyNumberFormat="1" applyFont="1" applyProtection="1">
      <protection hidden="1"/>
    </xf>
    <xf numFmtId="0" fontId="23" fillId="0" borderId="9" xfId="0" applyFont="1" applyBorder="1" applyProtection="1">
      <protection hidden="1"/>
    </xf>
    <xf numFmtId="172" fontId="37" fillId="0" borderId="0" xfId="1" applyNumberFormat="1" applyFont="1" applyBorder="1" applyAlignment="1" applyProtection="1">
      <alignment horizontal="right"/>
      <protection hidden="1"/>
    </xf>
    <xf numFmtId="0" fontId="22" fillId="8" borderId="0" xfId="0" applyFont="1" applyFill="1" applyProtection="1">
      <protection hidden="1"/>
    </xf>
    <xf numFmtId="1" fontId="0" fillId="0" borderId="0" xfId="0" applyNumberFormat="1" applyAlignment="1" applyProtection="1">
      <alignment horizontal="left"/>
      <protection hidden="1"/>
    </xf>
    <xf numFmtId="0" fontId="26" fillId="0" borderId="14" xfId="0" applyFont="1" applyBorder="1" applyAlignment="1" applyProtection="1">
      <alignment horizontal="right" vertical="center"/>
      <protection hidden="1"/>
    </xf>
    <xf numFmtId="167" fontId="1" fillId="0" borderId="5" xfId="0" applyNumberFormat="1" applyFont="1" applyBorder="1" applyAlignment="1" applyProtection="1">
      <alignment horizontal="center"/>
      <protection hidden="1"/>
    </xf>
    <xf numFmtId="172" fontId="23" fillId="0" borderId="0" xfId="1" applyNumberFormat="1" applyFont="1" applyBorder="1" applyAlignment="1" applyProtection="1">
      <alignment horizontal="right"/>
      <protection hidden="1"/>
    </xf>
    <xf numFmtId="3" fontId="4" fillId="0" borderId="0" xfId="0" applyNumberFormat="1" applyFont="1" applyAlignment="1" applyProtection="1">
      <alignment horizontal="right"/>
      <protection hidden="1"/>
    </xf>
    <xf numFmtId="0" fontId="2" fillId="8" borderId="0" xfId="0" applyFont="1" applyFill="1" applyAlignment="1" applyProtection="1">
      <alignment horizontal="right"/>
      <protection hidden="1"/>
    </xf>
    <xf numFmtId="2" fontId="38" fillId="0" borderId="4" xfId="0" applyNumberFormat="1" applyFont="1" applyBorder="1" applyAlignment="1" applyProtection="1">
      <alignment horizontal="center"/>
      <protection hidden="1"/>
    </xf>
    <xf numFmtId="14" fontId="39" fillId="0" borderId="9" xfId="0" applyNumberFormat="1" applyFont="1" applyBorder="1" applyAlignment="1" applyProtection="1">
      <alignment horizontal="center"/>
      <protection hidden="1"/>
    </xf>
    <xf numFmtId="3" fontId="40" fillId="0" borderId="0" xfId="0" applyNumberFormat="1" applyFont="1" applyProtection="1">
      <protection hidden="1"/>
    </xf>
    <xf numFmtId="0" fontId="6" fillId="0" borderId="4" xfId="0" applyFont="1" applyBorder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65" fontId="28" fillId="0" borderId="0" xfId="0" applyNumberFormat="1" applyFont="1" applyAlignment="1" applyProtection="1">
      <alignment horizontal="center"/>
      <protection hidden="1"/>
    </xf>
    <xf numFmtId="176" fontId="27" fillId="8" borderId="15" xfId="0" applyNumberFormat="1" applyFont="1" applyFill="1" applyBorder="1" applyAlignment="1" applyProtection="1">
      <alignment horizontal="center"/>
      <protection hidden="1"/>
    </xf>
    <xf numFmtId="0" fontId="23" fillId="0" borderId="16" xfId="0" applyFont="1" applyBorder="1" applyAlignment="1" applyProtection="1">
      <alignment horizontal="left"/>
      <protection hidden="1"/>
    </xf>
    <xf numFmtId="175" fontId="25" fillId="0" borderId="17" xfId="0" applyNumberFormat="1" applyFont="1" applyBorder="1" applyAlignment="1" applyProtection="1">
      <alignment horizontal="center"/>
      <protection hidden="1"/>
    </xf>
    <xf numFmtId="179" fontId="41" fillId="0" borderId="18" xfId="0" applyNumberFormat="1" applyFont="1" applyBorder="1" applyAlignment="1" applyProtection="1">
      <alignment horizontal="center"/>
      <protection hidden="1"/>
    </xf>
    <xf numFmtId="165" fontId="27" fillId="0" borderId="19" xfId="0" applyNumberFormat="1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172" fontId="23" fillId="0" borderId="9" xfId="1" applyNumberFormat="1" applyFont="1" applyBorder="1" applyAlignment="1" applyProtection="1">
      <alignment horizontal="left"/>
      <protection hidden="1"/>
    </xf>
    <xf numFmtId="177" fontId="25" fillId="0" borderId="20" xfId="0" applyNumberFormat="1" applyFont="1" applyBorder="1" applyAlignment="1" applyProtection="1">
      <alignment horizontal="center"/>
      <protection hidden="1"/>
    </xf>
    <xf numFmtId="180" fontId="25" fillId="0" borderId="21" xfId="0" applyNumberFormat="1" applyFont="1" applyBorder="1" applyAlignment="1" applyProtection="1">
      <alignment horizontal="center"/>
      <protection hidden="1"/>
    </xf>
    <xf numFmtId="178" fontId="25" fillId="0" borderId="21" xfId="0" applyNumberFormat="1" applyFont="1" applyBorder="1" applyAlignment="1" applyProtection="1">
      <alignment horizontal="center"/>
      <protection hidden="1"/>
    </xf>
    <xf numFmtId="165" fontId="28" fillId="0" borderId="9" xfId="0" applyNumberFormat="1" applyFont="1" applyBorder="1" applyAlignment="1" applyProtection="1">
      <alignment horizontal="center"/>
      <protection hidden="1"/>
    </xf>
    <xf numFmtId="165" fontId="28" fillId="0" borderId="22" xfId="0" applyNumberFormat="1" applyFont="1" applyBorder="1" applyAlignment="1" applyProtection="1">
      <alignment horizontal="center"/>
      <protection hidden="1"/>
    </xf>
    <xf numFmtId="3" fontId="4" fillId="0" borderId="5" xfId="0" applyNumberFormat="1" applyFon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/>
      <protection hidden="1"/>
    </xf>
    <xf numFmtId="166" fontId="40" fillId="0" borderId="0" xfId="0" applyNumberFormat="1" applyFont="1" applyAlignment="1" applyProtection="1">
      <alignment horizontal="center"/>
      <protection hidden="1"/>
    </xf>
    <xf numFmtId="166" fontId="40" fillId="0" borderId="5" xfId="0" applyNumberFormat="1" applyFont="1" applyBorder="1" applyAlignment="1" applyProtection="1">
      <alignment horizontal="center"/>
      <protection hidden="1"/>
    </xf>
    <xf numFmtId="166" fontId="40" fillId="0" borderId="11" xfId="0" applyNumberFormat="1" applyFont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30" fillId="4" borderId="24" xfId="0" applyFont="1" applyFill="1" applyBorder="1" applyProtection="1">
      <protection hidden="1"/>
    </xf>
    <xf numFmtId="0" fontId="30" fillId="4" borderId="25" xfId="0" applyFont="1" applyFill="1" applyBorder="1" applyProtection="1">
      <protection hidden="1"/>
    </xf>
    <xf numFmtId="0" fontId="30" fillId="4" borderId="26" xfId="0" applyFont="1" applyFill="1" applyBorder="1" applyProtection="1">
      <protection hidden="1"/>
    </xf>
    <xf numFmtId="0" fontId="31" fillId="5" borderId="25" xfId="0" applyFont="1" applyFill="1" applyBorder="1" applyProtection="1">
      <protection hidden="1"/>
    </xf>
    <xf numFmtId="0" fontId="31" fillId="5" borderId="26" xfId="0" applyFont="1" applyFill="1" applyBorder="1" applyProtection="1">
      <protection hidden="1"/>
    </xf>
    <xf numFmtId="0" fontId="33" fillId="8" borderId="25" xfId="0" applyFont="1" applyFill="1" applyBorder="1" applyAlignment="1" applyProtection="1">
      <alignment horizontal="left"/>
      <protection hidden="1"/>
    </xf>
    <xf numFmtId="0" fontId="33" fillId="8" borderId="26" xfId="0" applyFont="1" applyFill="1" applyBorder="1" applyAlignment="1" applyProtection="1">
      <alignment horizontal="left"/>
      <protection hidden="1"/>
    </xf>
    <xf numFmtId="0" fontId="34" fillId="0" borderId="0" xfId="0" applyFont="1" applyProtection="1">
      <protection hidden="1"/>
    </xf>
    <xf numFmtId="0" fontId="30" fillId="0" borderId="0" xfId="0" quotePrefix="1" applyFont="1" applyProtection="1">
      <protection hidden="1"/>
    </xf>
    <xf numFmtId="9" fontId="30" fillId="0" borderId="0" xfId="2" applyFont="1" applyProtection="1">
      <protection hidden="1"/>
    </xf>
    <xf numFmtId="0" fontId="32" fillId="0" borderId="0" xfId="0" applyFont="1" applyProtection="1">
      <protection hidden="1"/>
    </xf>
    <xf numFmtId="0" fontId="30" fillId="8" borderId="24" xfId="0" applyFont="1" applyFill="1" applyBorder="1" applyAlignment="1" applyProtection="1">
      <alignment horizontal="left"/>
      <protection hidden="1"/>
    </xf>
    <xf numFmtId="0" fontId="31" fillId="6" borderId="10" xfId="0" applyFont="1" applyFill="1" applyBorder="1" applyProtection="1">
      <protection hidden="1"/>
    </xf>
    <xf numFmtId="3" fontId="1" fillId="9" borderId="10" xfId="0" applyNumberFormat="1" applyFont="1" applyFill="1" applyBorder="1" applyProtection="1">
      <protection hidden="1"/>
    </xf>
    <xf numFmtId="172" fontId="28" fillId="0" borderId="27" xfId="1" applyNumberFormat="1" applyFont="1" applyBorder="1" applyAlignment="1" applyProtection="1">
      <alignment horizontal="right"/>
      <protection hidden="1"/>
    </xf>
    <xf numFmtId="172" fontId="28" fillId="0" borderId="28" xfId="1" applyNumberFormat="1" applyFont="1" applyBorder="1" applyAlignment="1" applyProtection="1">
      <alignment horizontal="left"/>
      <protection hidden="1"/>
    </xf>
    <xf numFmtId="164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2" fontId="1" fillId="7" borderId="10" xfId="1" applyNumberFormat="1" applyFont="1" applyFill="1" applyBorder="1" applyProtection="1">
      <protection locked="0"/>
    </xf>
    <xf numFmtId="3" fontId="1" fillId="7" borderId="10" xfId="0" applyNumberFormat="1" applyFont="1" applyFill="1" applyBorder="1" applyProtection="1">
      <protection locked="0"/>
    </xf>
    <xf numFmtId="164" fontId="1" fillId="6" borderId="10" xfId="0" applyNumberFormat="1" applyFont="1" applyFill="1" applyBorder="1" applyProtection="1">
      <protection locked="0"/>
    </xf>
    <xf numFmtId="164" fontId="1" fillId="10" borderId="10" xfId="0" applyNumberFormat="1" applyFont="1" applyFill="1" applyBorder="1" applyProtection="1">
      <protection locked="0"/>
    </xf>
    <xf numFmtId="1" fontId="1" fillId="6" borderId="10" xfId="0" applyNumberFormat="1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3" fontId="1" fillId="2" borderId="10" xfId="2" applyNumberFormat="1" applyFont="1" applyFill="1" applyBorder="1" applyAlignment="1" applyProtection="1">
      <alignment horizontal="center"/>
      <protection locked="0"/>
    </xf>
    <xf numFmtId="49" fontId="1" fillId="11" borderId="10" xfId="0" applyNumberFormat="1" applyFont="1" applyFill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3" fontId="44" fillId="0" borderId="0" xfId="0" applyNumberFormat="1" applyFont="1" applyProtection="1">
      <protection hidden="1"/>
    </xf>
    <xf numFmtId="166" fontId="44" fillId="0" borderId="0" xfId="0" applyNumberFormat="1" applyFont="1" applyAlignment="1" applyProtection="1">
      <alignment horizontal="center"/>
      <protection hidden="1"/>
    </xf>
    <xf numFmtId="166" fontId="44" fillId="0" borderId="5" xfId="0" applyNumberFormat="1" applyFont="1" applyBorder="1" applyAlignment="1" applyProtection="1">
      <alignment horizontal="center"/>
      <protection hidden="1"/>
    </xf>
    <xf numFmtId="0" fontId="19" fillId="8" borderId="1" xfId="0" applyFont="1" applyFill="1" applyBorder="1" applyAlignment="1" applyProtection="1">
      <alignment horizontal="center"/>
      <protection hidden="1"/>
    </xf>
    <xf numFmtId="0" fontId="19" fillId="8" borderId="2" xfId="0" applyFont="1" applyFill="1" applyBorder="1" applyAlignment="1" applyProtection="1">
      <alignment horizontal="right"/>
      <protection hidden="1"/>
    </xf>
    <xf numFmtId="173" fontId="46" fillId="12" borderId="10" xfId="2" applyNumberFormat="1" applyFont="1" applyFill="1" applyBorder="1" applyAlignment="1" applyProtection="1">
      <alignment horizontal="center"/>
      <protection locked="0"/>
    </xf>
    <xf numFmtId="0" fontId="47" fillId="8" borderId="4" xfId="0" applyFont="1" applyFill="1" applyBorder="1" applyAlignment="1" applyProtection="1">
      <alignment horizontal="center"/>
      <protection hidden="1"/>
    </xf>
    <xf numFmtId="0" fontId="15" fillId="8" borderId="0" xfId="0" applyFont="1" applyFill="1" applyAlignment="1" applyProtection="1">
      <alignment horizontal="right"/>
      <protection hidden="1"/>
    </xf>
    <xf numFmtId="174" fontId="48" fillId="8" borderId="5" xfId="2" applyNumberFormat="1" applyFont="1" applyFill="1" applyBorder="1" applyAlignment="1" applyProtection="1">
      <alignment horizontal="center"/>
      <protection hidden="1"/>
    </xf>
    <xf numFmtId="0" fontId="19" fillId="8" borderId="4" xfId="0" applyFont="1" applyFill="1" applyBorder="1" applyAlignment="1" applyProtection="1">
      <alignment horizontal="center"/>
      <protection hidden="1"/>
    </xf>
    <xf numFmtId="0" fontId="46" fillId="8" borderId="0" xfId="0" applyFont="1" applyFill="1" applyAlignment="1" applyProtection="1">
      <alignment horizontal="right"/>
      <protection hidden="1"/>
    </xf>
    <xf numFmtId="0" fontId="46" fillId="8" borderId="5" xfId="0" applyFont="1" applyFill="1" applyBorder="1" applyAlignment="1" applyProtection="1">
      <alignment horizontal="right"/>
      <protection hidden="1"/>
    </xf>
    <xf numFmtId="0" fontId="19" fillId="8" borderId="4" xfId="0" applyFont="1" applyFill="1" applyBorder="1" applyAlignment="1" applyProtection="1">
      <alignment horizontal="right"/>
      <protection hidden="1"/>
    </xf>
    <xf numFmtId="164" fontId="46" fillId="8" borderId="0" xfId="0" applyNumberFormat="1" applyFont="1" applyFill="1" applyAlignment="1" applyProtection="1">
      <alignment horizontal="right"/>
      <protection hidden="1"/>
    </xf>
    <xf numFmtId="0" fontId="19" fillId="8" borderId="5" xfId="0" applyFont="1" applyFill="1" applyBorder="1" applyProtection="1">
      <protection hidden="1"/>
    </xf>
    <xf numFmtId="0" fontId="19" fillId="8" borderId="5" xfId="0" applyFont="1" applyFill="1" applyBorder="1" applyAlignment="1" applyProtection="1">
      <alignment horizontal="left"/>
      <protection hidden="1"/>
    </xf>
    <xf numFmtId="0" fontId="19" fillId="8" borderId="0" xfId="0" applyFont="1" applyFill="1" applyAlignment="1" applyProtection="1">
      <alignment horizontal="right"/>
      <protection hidden="1"/>
    </xf>
    <xf numFmtId="171" fontId="46" fillId="8" borderId="5" xfId="1" applyNumberFormat="1" applyFont="1" applyFill="1" applyBorder="1" applyAlignment="1" applyProtection="1">
      <alignment horizontal="center"/>
      <protection hidden="1"/>
    </xf>
    <xf numFmtId="0" fontId="19" fillId="8" borderId="6" xfId="0" applyFont="1" applyFill="1" applyBorder="1" applyAlignment="1" applyProtection="1">
      <alignment horizontal="center"/>
      <protection hidden="1"/>
    </xf>
    <xf numFmtId="0" fontId="19" fillId="8" borderId="7" xfId="0" applyFont="1" applyFill="1" applyBorder="1" applyAlignment="1" applyProtection="1">
      <alignment horizontal="right"/>
      <protection hidden="1"/>
    </xf>
    <xf numFmtId="4" fontId="46" fillId="8" borderId="11" xfId="1" applyNumberFormat="1" applyFont="1" applyFill="1" applyBorder="1" applyAlignment="1" applyProtection="1">
      <alignment horizontal="center"/>
      <protection hidden="1"/>
    </xf>
    <xf numFmtId="181" fontId="0" fillId="0" borderId="4" xfId="0" applyNumberFormat="1" applyBorder="1" applyAlignment="1" applyProtection="1">
      <alignment horizontal="center"/>
      <protection hidden="1"/>
    </xf>
    <xf numFmtId="181" fontId="0" fillId="0" borderId="5" xfId="0" applyNumberFormat="1" applyBorder="1" applyAlignment="1" applyProtection="1">
      <alignment horizontal="center"/>
      <protection hidden="1"/>
    </xf>
    <xf numFmtId="0" fontId="49" fillId="8" borderId="4" xfId="0" applyFont="1" applyFill="1" applyBorder="1" applyAlignment="1" applyProtection="1">
      <alignment horizontal="right"/>
      <protection hidden="1"/>
    </xf>
    <xf numFmtId="182" fontId="49" fillId="8" borderId="5" xfId="0" applyNumberFormat="1" applyFont="1" applyFill="1" applyBorder="1" applyAlignment="1" applyProtection="1">
      <alignment horizontal="center"/>
      <protection hidden="1"/>
    </xf>
    <xf numFmtId="184" fontId="0" fillId="0" borderId="11" xfId="0" applyNumberFormat="1" applyBorder="1" applyAlignment="1" applyProtection="1">
      <alignment horizontal="center"/>
      <protection hidden="1"/>
    </xf>
    <xf numFmtId="0" fontId="0" fillId="0" borderId="1" xfId="0" applyBorder="1" applyAlignment="1">
      <alignment horizontal="left"/>
    </xf>
    <xf numFmtId="0" fontId="0" fillId="8" borderId="0" xfId="0" applyFill="1" applyAlignment="1" applyProtection="1">
      <alignment horizontal="center"/>
      <protection hidden="1"/>
    </xf>
    <xf numFmtId="181" fontId="0" fillId="8" borderId="0" xfId="0" applyNumberFormat="1" applyFill="1" applyAlignment="1" applyProtection="1">
      <alignment horizontal="center"/>
      <protection hidden="1"/>
    </xf>
    <xf numFmtId="184" fontId="0" fillId="0" borderId="6" xfId="0" applyNumberFormat="1" applyBorder="1" applyAlignment="1" applyProtection="1">
      <alignment horizontal="center"/>
      <protection hidden="1"/>
    </xf>
    <xf numFmtId="184" fontId="0" fillId="8" borderId="7" xfId="0" applyNumberForma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right"/>
      <protection hidden="1"/>
    </xf>
    <xf numFmtId="183" fontId="50" fillId="8" borderId="0" xfId="0" applyNumberFormat="1" applyFont="1" applyFill="1" applyAlignment="1" applyProtection="1">
      <alignment horizontal="center"/>
      <protection hidden="1"/>
    </xf>
    <xf numFmtId="0" fontId="52" fillId="0" borderId="4" xfId="0" applyFont="1" applyBorder="1" applyProtection="1">
      <protection hidden="1"/>
    </xf>
    <xf numFmtId="2" fontId="53" fillId="0" borderId="4" xfId="0" applyNumberFormat="1" applyFont="1" applyBorder="1" applyProtection="1">
      <protection hidden="1"/>
    </xf>
    <xf numFmtId="0" fontId="42" fillId="0" borderId="0" xfId="0" applyFont="1" applyAlignment="1" applyProtection="1">
      <alignment horizontal="right" vertical="center" wrapText="1"/>
      <protection hidden="1"/>
    </xf>
    <xf numFmtId="0" fontId="43" fillId="0" borderId="0" xfId="0" applyFont="1" applyAlignment="1" applyProtection="1">
      <alignment horizontal="right" vertical="center"/>
      <protection hidden="1"/>
    </xf>
    <xf numFmtId="167" fontId="22" fillId="0" borderId="0" xfId="0" applyNumberFormat="1" applyFont="1" applyAlignment="1" applyProtection="1">
      <alignment horizontal="center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5" fillId="3" borderId="24" xfId="0" applyFont="1" applyFill="1" applyBorder="1" applyAlignment="1" applyProtection="1">
      <alignment horizontal="center"/>
      <protection locked="0"/>
    </xf>
    <xf numFmtId="0" fontId="45" fillId="3" borderId="25" xfId="0" applyFont="1" applyFill="1" applyBorder="1" applyAlignment="1" applyProtection="1">
      <alignment horizontal="center"/>
      <protection locked="0"/>
    </xf>
    <xf numFmtId="0" fontId="45" fillId="3" borderId="26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0" fontId="13" fillId="0" borderId="4" xfId="0" applyNumberFormat="1" applyFont="1" applyBorder="1" applyAlignment="1" applyProtection="1">
      <alignment horizontal="left"/>
      <protection hidden="1"/>
    </xf>
    <xf numFmtId="170" fontId="13" fillId="0" borderId="0" xfId="0" applyNumberFormat="1" applyFont="1" applyAlignment="1" applyProtection="1">
      <alignment horizontal="left"/>
      <protection hidden="1"/>
    </xf>
    <xf numFmtId="170" fontId="0" fillId="0" borderId="0" xfId="0" applyNumberFormat="1" applyAlignment="1" applyProtection="1">
      <alignment horizontal="left"/>
      <protection hidden="1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14" fontId="4" fillId="3" borderId="24" xfId="0" applyNumberFormat="1" applyFont="1" applyFill="1" applyBorder="1" applyAlignment="1" applyProtection="1">
      <alignment horizontal="center"/>
      <protection locked="0"/>
    </xf>
    <xf numFmtId="14" fontId="4" fillId="3" borderId="2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left" wrapText="1"/>
      <protection hidden="1"/>
    </xf>
    <xf numFmtId="0" fontId="30" fillId="0" borderId="0" xfId="0" applyFont="1" applyProtection="1">
      <protection hidden="1"/>
    </xf>
    <xf numFmtId="0" fontId="38" fillId="0" borderId="4" xfId="0" applyFont="1" applyBorder="1" applyProtection="1">
      <protection hidden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6FECE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0"/>
  <sheetViews>
    <sheetView tabSelected="1" zoomScaleNormal="100" zoomScaleSheetLayoutView="100" workbookViewId="0">
      <selection activeCell="B7" sqref="B7:C7"/>
    </sheetView>
  </sheetViews>
  <sheetFormatPr baseColWidth="10" defaultColWidth="11.42578125" defaultRowHeight="12.75" x14ac:dyDescent="0.2"/>
  <cols>
    <col min="1" max="1" width="21.140625" style="40" customWidth="1"/>
    <col min="2" max="2" width="12.5703125" style="40" customWidth="1"/>
    <col min="3" max="3" width="12.28515625" style="9" customWidth="1"/>
    <col min="4" max="4" width="12" style="9" customWidth="1"/>
    <col min="5" max="5" width="9.85546875" style="9" customWidth="1"/>
    <col min="6" max="6" width="11.85546875" style="16" customWidth="1"/>
    <col min="7" max="7" width="19.85546875" style="9" customWidth="1"/>
    <col min="8" max="8" width="19.7109375" style="9" customWidth="1"/>
    <col min="9" max="9" width="16.5703125" style="9" customWidth="1"/>
    <col min="10" max="10" width="16.42578125" style="62" customWidth="1"/>
    <col min="11" max="11" width="21.7109375" style="40" customWidth="1"/>
    <col min="12" max="12" width="11.42578125" style="40"/>
    <col min="13" max="13" width="12.28515625" style="40" bestFit="1" customWidth="1"/>
    <col min="14" max="16384" width="11.42578125" style="40"/>
  </cols>
  <sheetData>
    <row r="1" spans="1:10" ht="15.75" x14ac:dyDescent="0.25">
      <c r="A1" s="105" t="s">
        <v>119</v>
      </c>
      <c r="E1" s="130" t="s">
        <v>143</v>
      </c>
      <c r="H1" s="103" t="s">
        <v>185</v>
      </c>
      <c r="I1" s="114"/>
      <c r="J1" s="102" t="s">
        <v>84</v>
      </c>
    </row>
    <row r="3" spans="1:10" ht="15" x14ac:dyDescent="0.2">
      <c r="A3" s="79" t="s">
        <v>65</v>
      </c>
      <c r="B3" s="81"/>
      <c r="C3" s="80"/>
      <c r="G3" s="66"/>
      <c r="J3" s="224" t="s">
        <v>184</v>
      </c>
    </row>
    <row r="4" spans="1:10" x14ac:dyDescent="0.2">
      <c r="A4" s="67" t="s">
        <v>66</v>
      </c>
      <c r="B4" s="67"/>
      <c r="C4" s="67"/>
      <c r="D4" s="67"/>
      <c r="E4" s="67"/>
      <c r="F4" s="67"/>
      <c r="G4" s="67"/>
    </row>
    <row r="5" spans="1:10" x14ac:dyDescent="0.2">
      <c r="I5" s="110"/>
    </row>
    <row r="6" spans="1:10" ht="15.75" x14ac:dyDescent="0.25">
      <c r="A6" s="42" t="s">
        <v>0</v>
      </c>
      <c r="B6" s="233" t="s">
        <v>188</v>
      </c>
      <c r="C6" s="234"/>
      <c r="D6" s="234"/>
      <c r="E6" s="234"/>
      <c r="F6" s="234"/>
      <c r="G6" s="235"/>
    </row>
    <row r="7" spans="1:10" x14ac:dyDescent="0.2">
      <c r="A7" s="42" t="s">
        <v>146</v>
      </c>
      <c r="B7" s="243" t="s">
        <v>189</v>
      </c>
      <c r="C7" s="244"/>
      <c r="D7" s="42" t="s">
        <v>128</v>
      </c>
      <c r="E7" s="245">
        <v>45292</v>
      </c>
      <c r="F7" s="246"/>
    </row>
    <row r="8" spans="1:10" ht="12.75" customHeight="1" x14ac:dyDescent="0.2">
      <c r="C8" s="40"/>
      <c r="D8" s="40"/>
      <c r="E8" s="40"/>
      <c r="F8" s="40"/>
      <c r="G8" s="40"/>
      <c r="H8" s="40"/>
      <c r="I8" s="40"/>
      <c r="J8" s="40"/>
    </row>
    <row r="9" spans="1:10" ht="12.75" customHeight="1" x14ac:dyDescent="0.2">
      <c r="A9" s="42" t="s">
        <v>151</v>
      </c>
      <c r="B9" s="182">
        <v>25</v>
      </c>
      <c r="C9" s="68" t="s">
        <v>2</v>
      </c>
      <c r="D9" s="42" t="s">
        <v>150</v>
      </c>
      <c r="E9" s="183">
        <v>70</v>
      </c>
      <c r="F9" s="68" t="s">
        <v>2</v>
      </c>
      <c r="G9" s="42" t="s">
        <v>152</v>
      </c>
      <c r="H9" s="183">
        <v>0.6</v>
      </c>
      <c r="I9" s="69" t="s">
        <v>2</v>
      </c>
      <c r="J9" s="70"/>
    </row>
    <row r="10" spans="1:10" ht="12.75" customHeight="1" x14ac:dyDescent="0.2">
      <c r="A10" s="42" t="s">
        <v>74</v>
      </c>
      <c r="B10" s="184">
        <v>500</v>
      </c>
      <c r="C10" s="68" t="s">
        <v>147</v>
      </c>
      <c r="E10" s="41"/>
      <c r="F10" s="69"/>
    </row>
    <row r="11" spans="1:10" ht="12.75" customHeight="1" x14ac:dyDescent="0.2">
      <c r="A11" s="42" t="s">
        <v>135</v>
      </c>
      <c r="B11" s="179">
        <f>B10/I31*1000</f>
        <v>50464.271295922481</v>
      </c>
      <c r="C11" s="68" t="s">
        <v>100</v>
      </c>
      <c r="D11" s="69" t="s">
        <v>3</v>
      </c>
      <c r="E11" s="41"/>
      <c r="F11" s="69"/>
    </row>
    <row r="12" spans="1:10" ht="12.75" customHeight="1" x14ac:dyDescent="0.2">
      <c r="A12" s="42" t="s">
        <v>90</v>
      </c>
      <c r="B12" s="185">
        <v>250</v>
      </c>
      <c r="C12" s="68" t="s">
        <v>101</v>
      </c>
      <c r="D12" s="38" t="s">
        <v>4</v>
      </c>
      <c r="E12" s="30">
        <f>E9-H9</f>
        <v>69.400000000000006</v>
      </c>
      <c r="F12" s="69" t="s">
        <v>2</v>
      </c>
      <c r="G12" s="38" t="s">
        <v>5</v>
      </c>
      <c r="H12" s="30">
        <f>B9-H9</f>
        <v>24.4</v>
      </c>
      <c r="I12" s="69" t="s">
        <v>2</v>
      </c>
    </row>
    <row r="13" spans="1:10" ht="12.75" customHeight="1" x14ac:dyDescent="0.2">
      <c r="A13" s="42"/>
      <c r="B13" s="97" t="str">
        <f>IF((B12*2)&gt;=B11,"Schrittweite zu groß!","")</f>
        <v/>
      </c>
      <c r="C13" s="68"/>
      <c r="D13" s="38"/>
      <c r="E13" s="71"/>
      <c r="F13" s="69"/>
      <c r="G13" s="38"/>
      <c r="H13" s="71"/>
      <c r="I13" s="69"/>
    </row>
    <row r="14" spans="1:10" ht="12.75" customHeight="1" x14ac:dyDescent="0.2">
      <c r="A14" s="42" t="s">
        <v>70</v>
      </c>
      <c r="B14" s="72" t="s">
        <v>67</v>
      </c>
      <c r="C14" s="72" t="s">
        <v>68</v>
      </c>
      <c r="D14" s="136" t="s">
        <v>145</v>
      </c>
      <c r="E14" s="71"/>
      <c r="F14" s="69"/>
      <c r="G14" s="40"/>
      <c r="H14" s="78"/>
      <c r="I14" s="40"/>
    </row>
    <row r="15" spans="1:10" ht="12.75" customHeight="1" x14ac:dyDescent="0.2">
      <c r="A15" s="42" t="s">
        <v>6</v>
      </c>
      <c r="B15" s="186">
        <v>0.45</v>
      </c>
      <c r="C15" s="186">
        <v>0.5</v>
      </c>
      <c r="D15" s="187">
        <v>-2.4E-2</v>
      </c>
      <c r="E15" s="40" t="s">
        <v>7</v>
      </c>
      <c r="F15" s="73" t="s">
        <v>69</v>
      </c>
      <c r="G15" s="69"/>
      <c r="H15" s="42" t="s">
        <v>107</v>
      </c>
      <c r="I15" s="188">
        <v>70</v>
      </c>
      <c r="J15" s="69" t="s">
        <v>1</v>
      </c>
    </row>
    <row r="16" spans="1:10" ht="12.75" customHeight="1" x14ac:dyDescent="0.2">
      <c r="A16" s="42" t="s">
        <v>8</v>
      </c>
      <c r="B16" s="186">
        <v>2.2999999999999998</v>
      </c>
      <c r="C16" s="186">
        <v>2.6</v>
      </c>
      <c r="D16" s="187">
        <v>14.199</v>
      </c>
      <c r="E16" s="68" t="s">
        <v>9</v>
      </c>
      <c r="F16" s="73" t="s">
        <v>69</v>
      </c>
      <c r="G16" s="69"/>
      <c r="H16" s="42" t="s">
        <v>108</v>
      </c>
      <c r="I16" s="188">
        <v>50</v>
      </c>
      <c r="J16" s="69" t="s">
        <v>1</v>
      </c>
    </row>
    <row r="17" spans="1:10" ht="12.75" customHeight="1" x14ac:dyDescent="0.2">
      <c r="A17" s="42" t="s">
        <v>71</v>
      </c>
      <c r="B17" s="186">
        <v>0.82</v>
      </c>
      <c r="C17" s="186">
        <v>0.79</v>
      </c>
      <c r="D17" s="187">
        <v>8.8999999999999996E-2</v>
      </c>
      <c r="E17" s="40" t="s">
        <v>116</v>
      </c>
      <c r="F17" s="73" t="s">
        <v>69</v>
      </c>
      <c r="G17" s="69"/>
      <c r="H17" s="42" t="s">
        <v>113</v>
      </c>
      <c r="I17" s="189">
        <v>20</v>
      </c>
      <c r="J17" s="68" t="s">
        <v>73</v>
      </c>
    </row>
    <row r="18" spans="1:10" ht="12.75" customHeight="1" x14ac:dyDescent="0.2">
      <c r="A18" s="42" t="s">
        <v>136</v>
      </c>
      <c r="B18" s="186">
        <v>10</v>
      </c>
      <c r="C18" s="186">
        <v>11.5</v>
      </c>
      <c r="D18" s="187">
        <v>3.54</v>
      </c>
      <c r="E18" s="40" t="s">
        <v>137</v>
      </c>
      <c r="F18" s="73"/>
      <c r="G18" s="69"/>
      <c r="H18" s="42" t="s">
        <v>114</v>
      </c>
      <c r="I18" s="189">
        <v>20</v>
      </c>
      <c r="J18" s="68" t="s">
        <v>73</v>
      </c>
    </row>
    <row r="19" spans="1:10" ht="12.75" customHeight="1" x14ac:dyDescent="0.2">
      <c r="A19" s="42"/>
      <c r="B19" s="42" t="s">
        <v>125</v>
      </c>
      <c r="C19" s="189">
        <v>10</v>
      </c>
      <c r="D19" s="106" t="s">
        <v>123</v>
      </c>
      <c r="E19" s="106"/>
      <c r="F19" s="73"/>
    </row>
    <row r="20" spans="1:10" ht="12.75" customHeight="1" x14ac:dyDescent="0.2">
      <c r="A20" s="42"/>
      <c r="B20" s="42"/>
      <c r="C20" s="106"/>
      <c r="D20" s="106"/>
      <c r="E20" s="73"/>
      <c r="F20" s="69"/>
      <c r="G20" s="42"/>
      <c r="H20" s="40"/>
      <c r="I20" s="68"/>
    </row>
    <row r="21" spans="1:10" ht="12.75" customHeight="1" x14ac:dyDescent="0.2">
      <c r="A21" s="42"/>
      <c r="B21" s="64"/>
      <c r="C21" s="42" t="s">
        <v>126</v>
      </c>
      <c r="D21" s="9" t="s">
        <v>127</v>
      </c>
      <c r="E21" s="190" t="s">
        <v>187</v>
      </c>
      <c r="F21" s="240">
        <f>IF(E21="j",1.6,1)</f>
        <v>1.6</v>
      </c>
      <c r="G21" s="241"/>
      <c r="H21" s="241"/>
      <c r="I21" s="241"/>
      <c r="J21" s="242"/>
    </row>
    <row r="22" spans="1:10" ht="12.75" customHeight="1" x14ac:dyDescent="0.2">
      <c r="A22" s="42"/>
      <c r="B22" s="64"/>
      <c r="C22" s="42" t="s">
        <v>144</v>
      </c>
      <c r="D22" s="9" t="s">
        <v>127</v>
      </c>
      <c r="E22" s="190" t="s">
        <v>187</v>
      </c>
      <c r="F22" s="137">
        <f>IF(E22="j",1,0)</f>
        <v>1</v>
      </c>
      <c r="G22" s="131"/>
      <c r="H22" s="131"/>
      <c r="I22" s="131"/>
      <c r="J22" s="131"/>
    </row>
    <row r="23" spans="1:10" ht="12.75" customHeight="1" x14ac:dyDescent="0.2">
      <c r="A23" s="42"/>
      <c r="B23" s="74"/>
      <c r="C23" s="107"/>
      <c r="D23" s="75"/>
      <c r="E23" s="73"/>
      <c r="F23" s="69"/>
      <c r="G23" s="40"/>
      <c r="H23" s="40"/>
      <c r="I23" s="40"/>
    </row>
    <row r="24" spans="1:10" ht="12.75" customHeight="1" x14ac:dyDescent="0.2">
      <c r="A24" s="232" t="s">
        <v>140</v>
      </c>
      <c r="B24" s="232"/>
      <c r="C24" s="191" t="s">
        <v>179</v>
      </c>
      <c r="E24" s="112" t="s">
        <v>133</v>
      </c>
      <c r="F24" s="111">
        <f>IF(C24="L",B17,C17)</f>
        <v>0.79</v>
      </c>
      <c r="G24" s="40" t="s">
        <v>116</v>
      </c>
      <c r="H24" s="196"/>
      <c r="I24" s="197" t="s">
        <v>142</v>
      </c>
      <c r="J24" s="198">
        <v>0.2</v>
      </c>
    </row>
    <row r="25" spans="1:10" ht="12.75" customHeight="1" x14ac:dyDescent="0.2">
      <c r="A25" s="42"/>
      <c r="B25" s="39"/>
      <c r="C25" s="68"/>
      <c r="E25" s="112" t="s">
        <v>138</v>
      </c>
      <c r="F25" s="111">
        <f>IF(C24="L",B18,C18)</f>
        <v>11.5</v>
      </c>
      <c r="G25" s="40" t="s">
        <v>137</v>
      </c>
      <c r="H25" s="199"/>
      <c r="I25" s="200" t="s">
        <v>173</v>
      </c>
      <c r="J25" s="201">
        <f>(I31/F25)*100</f>
        <v>86.15652173913044</v>
      </c>
    </row>
    <row r="26" spans="1:10" ht="12.75" customHeight="1" x14ac:dyDescent="0.2">
      <c r="A26" s="42" t="s">
        <v>6</v>
      </c>
      <c r="B26" s="76">
        <f>IF(C24="L",B15,C15)</f>
        <v>0.5</v>
      </c>
      <c r="C26" s="40" t="s">
        <v>7</v>
      </c>
      <c r="D26" s="40"/>
      <c r="E26" s="40"/>
      <c r="F26" s="40"/>
      <c r="H26" s="216" t="s">
        <v>183</v>
      </c>
      <c r="I26" s="225">
        <f>($H$36/$J$36)*100</f>
        <v>97.260695598645739</v>
      </c>
      <c r="J26" s="217">
        <f>100-I26</f>
        <v>2.7393044013542607</v>
      </c>
    </row>
    <row r="27" spans="1:10" ht="12.75" customHeight="1" x14ac:dyDescent="0.2">
      <c r="A27" s="42" t="s">
        <v>8</v>
      </c>
      <c r="B27" s="76">
        <f>IF(C24="L",B16,C16)</f>
        <v>2.6</v>
      </c>
      <c r="C27" s="68" t="s">
        <v>9</v>
      </c>
      <c r="D27" s="16" t="s">
        <v>28</v>
      </c>
      <c r="E27" s="188">
        <v>150</v>
      </c>
      <c r="F27" s="69" t="s">
        <v>104</v>
      </c>
      <c r="H27" s="202"/>
      <c r="I27" s="203" t="s">
        <v>174</v>
      </c>
      <c r="J27" s="204"/>
    </row>
    <row r="28" spans="1:10" ht="12.75" customHeight="1" x14ac:dyDescent="0.2">
      <c r="A28" s="42" t="s">
        <v>10</v>
      </c>
      <c r="B28" s="188">
        <v>95</v>
      </c>
      <c r="C28" s="40" t="s">
        <v>11</v>
      </c>
      <c r="H28" s="205" t="s">
        <v>6</v>
      </c>
      <c r="I28" s="206">
        <f>(((J24*100)/100)*D15)+(((100-(J24*100))/100)*B26)</f>
        <v>0.3952</v>
      </c>
      <c r="J28" s="207" t="s">
        <v>7</v>
      </c>
    </row>
    <row r="29" spans="1:10" ht="12.75" customHeight="1" x14ac:dyDescent="0.2">
      <c r="A29" s="42" t="s">
        <v>12</v>
      </c>
      <c r="B29" s="189">
        <v>5</v>
      </c>
      <c r="C29" s="40" t="s">
        <v>13</v>
      </c>
      <c r="H29" s="205" t="s">
        <v>8</v>
      </c>
      <c r="I29" s="206">
        <f>($J$26/100*$D$16)+($I$26/100*$B$27)</f>
        <v>2.9177319175130809</v>
      </c>
      <c r="J29" s="208" t="s">
        <v>9</v>
      </c>
    </row>
    <row r="30" spans="1:10" ht="12.75" customHeight="1" x14ac:dyDescent="0.2">
      <c r="A30" s="42" t="s">
        <v>14</v>
      </c>
      <c r="B30" s="189">
        <v>-2</v>
      </c>
      <c r="C30" s="40" t="s">
        <v>13</v>
      </c>
      <c r="E30" s="40"/>
      <c r="F30" s="40"/>
      <c r="H30" s="205" t="s">
        <v>71</v>
      </c>
      <c r="I30" s="206">
        <f>((($J$24*100)/100)*$D$17)+(((100-($J$24*100))/100)*$F$24)</f>
        <v>0.64980000000000016</v>
      </c>
      <c r="J30" s="207" t="s">
        <v>116</v>
      </c>
    </row>
    <row r="31" spans="1:10" ht="12.75" customHeight="1" x14ac:dyDescent="0.2">
      <c r="C31" s="40"/>
      <c r="D31" s="40"/>
      <c r="E31" s="40"/>
      <c r="F31" s="40"/>
      <c r="G31" s="40"/>
      <c r="H31" s="205" t="s">
        <v>139</v>
      </c>
      <c r="I31" s="206">
        <f>((($J$24*100)/100)*$D$18)+(((100-($J$24*100))/100)*$F$25)</f>
        <v>9.9080000000000013</v>
      </c>
      <c r="J31" s="207" t="s">
        <v>137</v>
      </c>
    </row>
    <row r="32" spans="1:10" ht="12.75" customHeight="1" x14ac:dyDescent="0.2">
      <c r="B32" s="64"/>
      <c r="D32" s="42"/>
      <c r="F32" s="9"/>
      <c r="G32" s="109"/>
      <c r="H32" s="202"/>
      <c r="I32" s="209" t="s">
        <v>175</v>
      </c>
      <c r="J32" s="210">
        <f>I30/1.2931</f>
        <v>0.50251334003557357</v>
      </c>
    </row>
    <row r="33" spans="1:19" ht="12.75" customHeight="1" x14ac:dyDescent="0.2">
      <c r="A33" s="9" t="s">
        <v>97</v>
      </c>
      <c r="B33" s="191" t="s">
        <v>190</v>
      </c>
      <c r="D33" s="42" t="s">
        <v>72</v>
      </c>
      <c r="E33" s="192">
        <f>IF(B33="D",$I$15,$I$16)</f>
        <v>50</v>
      </c>
      <c r="F33" s="69" t="s">
        <v>1</v>
      </c>
      <c r="G33" s="62"/>
      <c r="H33" s="211"/>
      <c r="I33" s="212" t="s">
        <v>176</v>
      </c>
      <c r="J33" s="213">
        <f>IF(J24=0,1,(SQRT(175.8/(J32*(273.15+B29)))))</f>
        <v>1.1214918079436338</v>
      </c>
    </row>
    <row r="34" spans="1:19" ht="12.75" customHeight="1" x14ac:dyDescent="0.2">
      <c r="A34" s="9" t="s">
        <v>61</v>
      </c>
      <c r="C34" s="40"/>
      <c r="F34" s="9"/>
      <c r="G34" s="62"/>
      <c r="H34" s="219" t="s">
        <v>186</v>
      </c>
      <c r="I34" s="4"/>
      <c r="J34" s="7"/>
    </row>
    <row r="35" spans="1:19" ht="12.75" customHeight="1" x14ac:dyDescent="0.2">
      <c r="A35" s="9" t="s">
        <v>62</v>
      </c>
      <c r="H35" s="10" t="s">
        <v>181</v>
      </c>
      <c r="I35" s="220" t="s">
        <v>180</v>
      </c>
      <c r="J35" s="29" t="s">
        <v>182</v>
      </c>
    </row>
    <row r="36" spans="1:19" ht="12.75" customHeight="1" x14ac:dyDescent="0.2">
      <c r="H36" s="214">
        <f>(1-J24)*F24*B11</f>
        <v>31893.419459023014</v>
      </c>
      <c r="I36" s="221">
        <f>B11*D17*J24</f>
        <v>898.2640290674201</v>
      </c>
      <c r="J36" s="215">
        <f>H36+I36</f>
        <v>32791.683488090435</v>
      </c>
    </row>
    <row r="37" spans="1:19" ht="12.75" customHeight="1" x14ac:dyDescent="0.2">
      <c r="A37" s="40" t="s">
        <v>98</v>
      </c>
      <c r="F37" s="191" t="s">
        <v>178</v>
      </c>
      <c r="H37" s="222">
        <f>$B$11*(1-J24)</f>
        <v>40371.417036737985</v>
      </c>
      <c r="I37" s="223">
        <f>$B$11*J24</f>
        <v>10092.854259184496</v>
      </c>
      <c r="J37" s="218">
        <f>H37+I37</f>
        <v>50464.271295922481</v>
      </c>
    </row>
    <row r="38" spans="1:19" ht="12.75" customHeight="1" x14ac:dyDescent="0.2"/>
    <row r="39" spans="1:19" x14ac:dyDescent="0.2">
      <c r="A39" s="1"/>
      <c r="B39" s="2"/>
      <c r="C39" s="3" t="s">
        <v>87</v>
      </c>
      <c r="D39" s="4"/>
      <c r="E39" s="4"/>
      <c r="F39" s="5"/>
      <c r="G39" s="6" t="s">
        <v>88</v>
      </c>
      <c r="H39" s="4"/>
      <c r="I39" s="4"/>
      <c r="J39" s="7"/>
    </row>
    <row r="40" spans="1:19" x14ac:dyDescent="0.2">
      <c r="A40" s="28"/>
      <c r="B40" s="98"/>
      <c r="C40" s="100" t="s">
        <v>115</v>
      </c>
      <c r="D40" s="99">
        <f>I17</f>
        <v>20</v>
      </c>
      <c r="E40" s="101" t="s">
        <v>1</v>
      </c>
      <c r="F40" s="49"/>
      <c r="G40" s="100" t="s">
        <v>115</v>
      </c>
      <c r="H40" s="99">
        <f>I18</f>
        <v>20</v>
      </c>
      <c r="I40" s="101" t="s">
        <v>1</v>
      </c>
      <c r="J40" s="11"/>
    </row>
    <row r="41" spans="1:19" x14ac:dyDescent="0.2">
      <c r="A41" s="8"/>
      <c r="B41" s="29" t="s">
        <v>106</v>
      </c>
      <c r="C41" s="10" t="s">
        <v>148</v>
      </c>
      <c r="D41" s="9" t="s">
        <v>15</v>
      </c>
      <c r="E41" s="9" t="s">
        <v>16</v>
      </c>
      <c r="F41" s="11" t="s">
        <v>17</v>
      </c>
      <c r="G41" s="10" t="s">
        <v>149</v>
      </c>
      <c r="H41" s="9" t="s">
        <v>15</v>
      </c>
      <c r="I41" s="9" t="s">
        <v>16</v>
      </c>
      <c r="J41" s="11" t="s">
        <v>18</v>
      </c>
    </row>
    <row r="42" spans="1:19" x14ac:dyDescent="0.2">
      <c r="A42" s="8"/>
      <c r="B42" s="9" t="s">
        <v>101</v>
      </c>
      <c r="C42" s="10" t="s">
        <v>2</v>
      </c>
      <c r="D42" s="9" t="s">
        <v>19</v>
      </c>
      <c r="E42" s="9" t="s">
        <v>19</v>
      </c>
      <c r="F42" s="11" t="s">
        <v>1</v>
      </c>
      <c r="G42" s="10" t="s">
        <v>2</v>
      </c>
      <c r="H42" s="9" t="s">
        <v>19</v>
      </c>
      <c r="I42" s="9" t="s">
        <v>19</v>
      </c>
      <c r="J42" s="11" t="s">
        <v>1</v>
      </c>
    </row>
    <row r="43" spans="1:19" s="41" customFormat="1" x14ac:dyDescent="0.2">
      <c r="A43" s="12"/>
      <c r="B43" s="13">
        <f>B44-B12</f>
        <v>49964.271295922481</v>
      </c>
      <c r="C43" s="14">
        <f>B9</f>
        <v>25</v>
      </c>
      <c r="D43" s="15">
        <f>(SQRT((4*($B43/((C43+1.013)*3600))/$I17)/3.1416))*1000</f>
        <v>184.29895034893406</v>
      </c>
      <c r="E43" s="90">
        <f>IF(D43&gt;1000,"Grenzwert",IF(D43&gt;900,1000-900)+IF(D43&gt;800,900-800)+IF(D43&gt;700,800-700)+IF(D43&gt;600,700-600)+IF(D43&gt;500,600-500)+IF(D43&gt;400,500-400)+IF(D43&gt;300,400-300)+IF(D43&gt;250,300-250)+IF(D43&gt;200,250-200)+IF(D43&gt;150,200-150)+IF(D43&gt;100,150-100)+IF(D43&gt;80,100-80)+IF(D43&gt;50,80-50)+IF(D43&gt;25,50,25))</f>
        <v>200</v>
      </c>
      <c r="F43" s="87">
        <f>((B43/3600)/(1.013+C43))/((E43/1000)^2*3.1416/4)</f>
        <v>16.983051549859429</v>
      </c>
      <c r="G43" s="14">
        <f>G45</f>
        <v>0.6</v>
      </c>
      <c r="H43" s="15">
        <f>(SQRT((4*($B43/((G43+1.013)*3600))/$I$18)/3.1416))*1000</f>
        <v>740.11788404923334</v>
      </c>
      <c r="I43" s="90">
        <f>IF(H43&gt;1400,"Grenzwert",IF(H43&gt;1300,1400-1300)+IF(H43&gt;1200,1300-1200)+IF(H43&gt;1100,1200-1100)+IF(H43&gt;1000,1100-1000)+IF(H43&gt;900,1000-900)+IF(H43&gt;800,900-800)+IF(H43&gt;700,800-700)+IF(H43&gt;600,700-600)+IF(H43&gt;500,600-500)+IF(H43&gt;400,500-400)+IF(H43&gt;300,400-300)+IF(H43&gt;250,300-250)+IF(H43&gt;200,250-200)+IF(H43&gt;150,200-150)+IF(H43&gt;100,150-100)+IF(H43&gt;80,100-80)+IF(H43&gt;50,80-50)+IF(H43&gt;25,50,25))</f>
        <v>800</v>
      </c>
      <c r="J43" s="87">
        <f>((B43/3600)/(1.013+G43))/((I43/1000)^2*3.1416/4)</f>
        <v>17.11795257154732</v>
      </c>
      <c r="K43" s="40"/>
      <c r="L43" s="40"/>
      <c r="M43" s="40"/>
      <c r="N43" s="40"/>
      <c r="O43" s="40"/>
      <c r="P43" s="40"/>
      <c r="Q43" s="40"/>
      <c r="R43" s="9"/>
      <c r="S43" s="62"/>
    </row>
    <row r="44" spans="1:19" s="41" customFormat="1" x14ac:dyDescent="0.2">
      <c r="A44" s="12"/>
      <c r="B44" s="13">
        <f>B45-B12</f>
        <v>50214.271295922481</v>
      </c>
      <c r="C44" s="14">
        <f>B9</f>
        <v>25</v>
      </c>
      <c r="D44" s="15">
        <f>(SQRT((4*($B44/((C44+1.013)*3600))/$I18)/3.1416))*1000</f>
        <v>184.75945187860432</v>
      </c>
      <c r="E44" s="90">
        <f>IF(D44&gt;1000,"Grenzwert",IF(D44&gt;900,1000-900)+IF(D44&gt;800,900-800)+IF(D44&gt;700,800-700)+IF(D44&gt;600,700-600)+IF(D44&gt;500,600-500)+IF(D44&gt;400,500-400)+IF(D44&gt;300,400-300)+IF(D44&gt;250,300-250)+IF(D44&gt;200,250-200)+IF(D44&gt;150,200-150)+IF(D44&gt;100,150-100)+IF(D44&gt;80,100-80)+IF(D44&gt;50,80-50)+IF(D44&gt;25,50,25))</f>
        <v>200</v>
      </c>
      <c r="F44" s="87">
        <f>((B44/3600)/(1.013+C44))/((E44/1000)^2*3.1416/4)</f>
        <v>17.068027529241146</v>
      </c>
      <c r="G44" s="14">
        <f>G46</f>
        <v>0.6</v>
      </c>
      <c r="H44" s="15">
        <f>(SQRT((4*($B44/((G44+1.013)*3600))/$I$18)/3.1416))*1000</f>
        <v>741.967191476626</v>
      </c>
      <c r="I44" s="90">
        <f>IF(H44&gt;1400,"Grenzwert",IF(H44&gt;1300,1400-1300)+IF(H44&gt;1200,1300-1200)+IF(H44&gt;1100,1200-1100)+IF(H44&gt;1000,1100-1000)+IF(H44&gt;900,1000-900)+IF(H44&gt;800,900-800)+IF(H44&gt;700,800-700)+IF(H44&gt;600,700-600)+IF(H44&gt;500,600-500)+IF(H44&gt;400,500-400)+IF(H44&gt;300,400-300)+IF(H44&gt;250,300-250)+IF(H44&gt;200,250-200)+IF(H44&gt;150,200-150)+IF(H44&gt;100,150-100)+IF(H44&gt;80,100-80)+IF(H44&gt;50,80-50)+IF(H44&gt;25,50,25))</f>
        <v>800</v>
      </c>
      <c r="J44" s="87">
        <f>((B44/3600)/(1.013+G44))/((I44/1000)^2*3.1416/4)</f>
        <v>17.203603538366004</v>
      </c>
      <c r="K44" s="40"/>
      <c r="L44" s="40"/>
      <c r="M44" s="40"/>
      <c r="N44" s="40"/>
      <c r="O44" s="40"/>
      <c r="P44" s="40"/>
      <c r="Q44" s="40"/>
      <c r="R44" s="9"/>
      <c r="S44" s="62"/>
    </row>
    <row r="45" spans="1:19" x14ac:dyDescent="0.2">
      <c r="A45" s="18"/>
      <c r="B45" s="19">
        <f>B11</f>
        <v>50464.271295922481</v>
      </c>
      <c r="C45" s="20">
        <f>B9</f>
        <v>25</v>
      </c>
      <c r="D45" s="21">
        <f>(SQRT((4*($B45/((C45+1.013)*3600))/$I17)/3.1416))*1000</f>
        <v>185.21880848673479</v>
      </c>
      <c r="E45" s="91">
        <f>IF(D45&gt;1000,"Grenzwert",IF(D45&gt;900,1000-900)+IF(D45&gt;800,900-800)+IF(D45&gt;700,800-700)+IF(D45&gt;600,700-600)+IF(D45&gt;500,600-500)+IF(D45&gt;400,500-400)+IF(D45&gt;300,400-300)+IF(D45&gt;250,300-250)+IF(D45&gt;200,250-200)+IF(D45&gt;150,200-150)+IF(D45&gt;100,150-100)+IF(D45&gt;80,100-80)+IF(D45&gt;50,80-50)+IF(D45&gt;25,50,25))</f>
        <v>200</v>
      </c>
      <c r="F45" s="88">
        <f>((B45/3600)/(1.013+C45))/((E45/1000)^2*3.1416/4)</f>
        <v>17.153003508622863</v>
      </c>
      <c r="G45" s="20">
        <f>$H$9</f>
        <v>0.6</v>
      </c>
      <c r="H45" s="21">
        <f>(SQRT((4*($B45/((G45+1.013)*3600))/$I$18)/3.1416))*1000</f>
        <v>743.81190106498707</v>
      </c>
      <c r="I45" s="91">
        <f>IF(H45&gt;1400,"Grenzwert",IF(H45&gt;1300,1400-1300)+IF(H45&gt;1200,1300-1200)+IF(H45&gt;1100,1200-1100)+IF(H45&gt;1000,1100-1000)+IF(H45&gt;900,1000-900)+IF(H45&gt;800,900-800)+IF(H45&gt;700,800-700)+IF(H45&gt;600,700-600)+IF(H45&gt;500,600-500)+IF(H45&gt;400,500-400)+IF(H45&gt;300,400-300)+IF(H45&gt;250,300-250)+IF(H45&gt;200,250-200)+IF(H45&gt;150,200-150)+IF(H45&gt;100,150-100)+IF(H45&gt;80,100-80)+IF(H45&gt;50,80-50)+IF(H45&gt;25,50,25))</f>
        <v>800</v>
      </c>
      <c r="J45" s="88">
        <f>((B45/3600)/(1.013+G45))/((I45/1000)^2*3.1416/4)</f>
        <v>17.28925450518469</v>
      </c>
      <c r="R45" s="9"/>
      <c r="S45" s="62"/>
    </row>
    <row r="46" spans="1:19" x14ac:dyDescent="0.2">
      <c r="A46" s="12"/>
      <c r="B46" s="13">
        <f>B45+$B$12</f>
        <v>50714.271295922481</v>
      </c>
      <c r="C46" s="14">
        <f>C45</f>
        <v>25</v>
      </c>
      <c r="D46" s="15">
        <f>(SQRT((4*($B46/((C46+1.013)*3600))/$I17)/3.1416))*1000</f>
        <v>185.6770286707787</v>
      </c>
      <c r="E46" s="90">
        <f>IF(D46&gt;1000,"Grenzwert",IF(D46&gt;900,1000-900)+IF(D46&gt;800,900-800)+IF(D46&gt;700,800-700)+IF(D46&gt;600,700-600)+IF(D46&gt;500,600-500)+IF(D46&gt;400,500-400)+IF(D46&gt;300,400-300)+IF(D46&gt;250,300-250)+IF(D46&gt;200,250-200)+IF(D46&gt;150,200-150)+IF(D46&gt;100,150-100)+IF(D46&gt;80,100-80)+IF(D46&gt;50,80-50)+IF(D46&gt;25,50,25))</f>
        <v>200</v>
      </c>
      <c r="F46" s="87">
        <f>((B46/3600)/(1.013+C46))/((E46/1000)^2*3.1416/4)</f>
        <v>17.23797948800458</v>
      </c>
      <c r="G46" s="14">
        <f>$H$9</f>
        <v>0.6</v>
      </c>
      <c r="H46" s="15">
        <f>(SQRT((4*($B46/((G46+1.013)*3600))/$I$18)/3.1416))*1000</f>
        <v>745.65204693885744</v>
      </c>
      <c r="I46" s="90">
        <f>IF(H46&gt;1400,"Grenzwert",IF(H46&gt;1300,1400-1300)+IF(H46&gt;1200,1300-1200)+IF(H46&gt;1100,1200-1100)+IF(H46&gt;1000,1100-1000)+IF(H46&gt;900,1000-900)+IF(H46&gt;800,900-800)+IF(H46&gt;700,800-700)+IF(H46&gt;600,700-600)+IF(H46&gt;500,600-500)+IF(H46&gt;400,500-400)+IF(H46&gt;300,400-300)+IF(H46&gt;250,300-250)+IF(H46&gt;200,250-200)+IF(H46&gt;150,200-150)+IF(H46&gt;100,150-100)+IF(H46&gt;80,100-80)+IF(H46&gt;50,80-50)+IF(H46&gt;25,50,25))</f>
        <v>800</v>
      </c>
      <c r="J46" s="87">
        <f>((B46/3600)/(1.013+G46))/((I46/1000)^2*3.1416/4)</f>
        <v>17.374905472003377</v>
      </c>
    </row>
    <row r="47" spans="1:19" x14ac:dyDescent="0.2">
      <c r="A47" s="22"/>
      <c r="B47" s="13">
        <f>B46+$B$12</f>
        <v>50964.271295922481</v>
      </c>
      <c r="C47" s="23">
        <f>C45</f>
        <v>25</v>
      </c>
      <c r="D47" s="24">
        <f>(SQRT((4*($B47/((C47+1.013)*3600))/$I17)/3.1416))*1000</f>
        <v>186.13412082359486</v>
      </c>
      <c r="E47" s="90">
        <f>IF(D47&gt;1000,"Grenzwert",IF(D47&gt;900,1000-900)+IF(D47&gt;800,900-800)+IF(D47&gt;700,800-700)+IF(D47&gt;600,700-600)+IF(D47&gt;500,600-500)+IF(D47&gt;400,500-400)+IF(D47&gt;300,400-300)+IF(D47&gt;250,300-250)+IF(D47&gt;200,250-200)+IF(D47&gt;150,200-150)+IF(D47&gt;100,150-100)+IF(D47&gt;80,100-80)+IF(D47&gt;50,80-50)+IF(D47&gt;25,50,25))</f>
        <v>200</v>
      </c>
      <c r="F47" s="89">
        <f>((B47/3600)/(1.013+C47))/((E47/1000)^2*3.1416/4)</f>
        <v>17.322955467386301</v>
      </c>
      <c r="G47" s="23">
        <f>G45</f>
        <v>0.6</v>
      </c>
      <c r="H47" s="24">
        <f>(SQRT((4*($B47/((G47+1.013)*3600))/$I$18)/3.1416))*1000</f>
        <v>747.48766280274231</v>
      </c>
      <c r="I47" s="90">
        <f>IF(H47&gt;1400,"Grenzwert",IF(H47&gt;1300,1400-1300)+IF(H47&gt;1200,1300-1200)+IF(H47&gt;1100,1200-1100)+IF(H47&gt;1000,1100-1000)+IF(H47&gt;900,1000-900)+IF(H47&gt;800,900-800)+IF(H47&gt;700,800-700)+IF(H47&gt;600,700-600)+IF(H47&gt;500,600-500)+IF(H47&gt;400,500-400)+IF(H47&gt;300,400-300)+IF(H47&gt;250,300-250)+IF(H47&gt;200,250-200)+IF(H47&gt;150,200-150)+IF(H47&gt;100,150-100)+IF(H47&gt;80,100-80)+IF(H47&gt;50,80-50)+IF(H47&gt;25,50,25))</f>
        <v>800</v>
      </c>
      <c r="J47" s="89">
        <f>((B47/3600)/(1.013+G47))/((I47/1000)^2*3.1416/4)</f>
        <v>17.460556438822064</v>
      </c>
    </row>
    <row r="48" spans="1:19" x14ac:dyDescent="0.2">
      <c r="A48" s="1"/>
      <c r="B48" s="25"/>
      <c r="C48" s="26" t="s">
        <v>20</v>
      </c>
      <c r="D48" s="4"/>
      <c r="E48" s="4"/>
      <c r="F48" s="27"/>
      <c r="G48" s="236" t="s">
        <v>134</v>
      </c>
      <c r="H48" s="237"/>
      <c r="I48" s="237"/>
      <c r="J48" s="27"/>
    </row>
    <row r="49" spans="1:17" x14ac:dyDescent="0.2">
      <c r="A49" s="8" t="s">
        <v>120</v>
      </c>
      <c r="B49" s="9" t="s">
        <v>106</v>
      </c>
      <c r="C49" s="9" t="s">
        <v>91</v>
      </c>
      <c r="D49" s="9" t="s">
        <v>15</v>
      </c>
      <c r="E49" s="9" t="s">
        <v>16</v>
      </c>
      <c r="F49" s="11" t="s">
        <v>105</v>
      </c>
      <c r="G49" s="226"/>
      <c r="H49" s="135" t="str">
        <f>IF($H$74="kein Vorwärmer notwendig","","Leistung")</f>
        <v>Leistung</v>
      </c>
      <c r="I49" s="48" t="str">
        <f>IF($H$74="kein Vorwärmer notwendig","","Wärmetauscher")</f>
        <v>Wärmetauscher</v>
      </c>
      <c r="J49" s="155" t="str">
        <f>IF($H$74="kein Vorwärmer notwendig","","Heizkessel")</f>
        <v>Heizkessel</v>
      </c>
    </row>
    <row r="50" spans="1:17" x14ac:dyDescent="0.2">
      <c r="A50" s="8" t="s">
        <v>1</v>
      </c>
      <c r="B50" s="9" t="s">
        <v>101</v>
      </c>
      <c r="C50" s="9" t="s">
        <v>2</v>
      </c>
      <c r="D50" s="9" t="s">
        <v>19</v>
      </c>
      <c r="E50" s="9" t="s">
        <v>19</v>
      </c>
      <c r="F50" s="11" t="s">
        <v>1</v>
      </c>
      <c r="G50" s="226"/>
      <c r="H50" s="135" t="str">
        <f>IF($H$74="kein Vorwärmer notwendig","kein Vorwärmer notwendig",B50)</f>
        <v>m³ Vn/h</v>
      </c>
      <c r="I50" s="48" t="str">
        <f>IF($H$74="kein Vorwärmer notwendig","","kW")</f>
        <v>kW</v>
      </c>
      <c r="J50" s="155" t="str">
        <f>IF($H$74="kein Vorwärmer notwendig","","kW")</f>
        <v>kW</v>
      </c>
    </row>
    <row r="51" spans="1:17" s="41" customFormat="1" x14ac:dyDescent="0.2">
      <c r="A51" s="12">
        <f>E33</f>
        <v>50</v>
      </c>
      <c r="B51" s="13">
        <f>B52-B12</f>
        <v>49964.271295922481</v>
      </c>
      <c r="C51" s="30">
        <f>B9</f>
        <v>25</v>
      </c>
      <c r="D51" s="15">
        <f>(SQRT((4*($B51/((C51+1.013)*3600))/$A51)/3.1416))*1000</f>
        <v>116.56089069618311</v>
      </c>
      <c r="E51" s="90">
        <f>IF(D51&gt;1000,"Grenzwert",IF(D51&gt;900,1000-900)+IF(D51&gt;800,900-800)+IF(D51&gt;700,800-700)+IF(D51&gt;600,700-600)+IF(D51&gt;500,600-500)+IF(D51&gt;400,500-400)+IF(D51&gt;300,400-300)+IF(D51&gt;250,300-250)+IF(D51&gt;200,250-200)+IF(D51&gt;150,200-150)+IF(D51&gt;100,150-100)+IF(D51&gt;80,100-80)+IF(D51&gt;50,80-50)+IF(D51&gt;25,50,25))</f>
        <v>150</v>
      </c>
      <c r="F51" s="87">
        <f>((B51/3600)/(1.013+C51))/((E51/1000)^2*3.1416/4)</f>
        <v>30.192091644194544</v>
      </c>
      <c r="G51" s="226"/>
      <c r="H51" s="139">
        <f>IF(($G$53&gt;0),IF(OR($F$22=1,$E$12&gt;16),$B51,""),"")</f>
        <v>49964.271295922481</v>
      </c>
      <c r="I51" s="159">
        <f>IF(($G$53&gt;0),IF(OR($F$22=1,$E$12&gt;16),($H51/3600*$I$30*$I$29*($I$28*$E$12+($B$30-$B$29))),""),"")</f>
        <v>537.50707847170122</v>
      </c>
      <c r="J51" s="160">
        <f>IF($G$53&gt;0,($I51/($B$28/100)),"")</f>
        <v>565.7969247070539</v>
      </c>
      <c r="K51" s="40"/>
      <c r="L51" s="40"/>
      <c r="M51" s="40"/>
      <c r="N51" s="40"/>
      <c r="O51" s="40"/>
      <c r="P51" s="40"/>
      <c r="Q51" s="40"/>
    </row>
    <row r="52" spans="1:17" s="41" customFormat="1" x14ac:dyDescent="0.2">
      <c r="A52" s="12">
        <f>A53</f>
        <v>50</v>
      </c>
      <c r="B52" s="13">
        <f>B53-B12</f>
        <v>50214.271295922481</v>
      </c>
      <c r="C52" s="30">
        <f>C53</f>
        <v>25</v>
      </c>
      <c r="D52" s="15">
        <f>(SQRT((4*($B52/((C52+1.013)*3600))/$A52)/3.1416))*1000</f>
        <v>116.85213743613302</v>
      </c>
      <c r="E52" s="90">
        <f>IF(D52&gt;1000,"Grenzwert",IF(D52&gt;900,1000-900)+IF(D52&gt;800,900-800)+IF(D52&gt;700,800-700)+IF(D52&gt;600,700-600)+IF(D52&gt;500,600-500)+IF(D52&gt;400,500-400)+IF(D52&gt;300,400-300)+IF(D52&gt;250,300-250)+IF(D52&gt;200,250-200)+IF(D52&gt;150,200-150)+IF(D52&gt;100,150-100)+IF(D52&gt;80,100-80)+IF(D52&gt;50,80-50)+IF(D52&gt;25,50,25))</f>
        <v>150</v>
      </c>
      <c r="F52" s="87">
        <f>((B52/3600)/(1.013+C52))/((E52/1000)^2*3.1416/4)</f>
        <v>30.343160051984263</v>
      </c>
      <c r="G52" s="249" t="b">
        <f>OR(F22=1,E12&gt;16)</f>
        <v>1</v>
      </c>
      <c r="H52" s="139">
        <f>IF(($G$53&gt;0),IF(OR($F$22=1,$E$12&gt;16),$B52,""),"")</f>
        <v>50214.271295922481</v>
      </c>
      <c r="I52" s="159">
        <f>IF(($G$53&gt;0),IF(OR($F$22=1,$E$12&gt;16),($H52/3600*$I$30*$I$29*($I$28*$E$12+($B$30-$B$29))),""),"")</f>
        <v>540.19653568047454</v>
      </c>
      <c r="J52" s="160">
        <f>IF($G$53&gt;0,($I52/($B$28/100)),"")</f>
        <v>568.62793229523641</v>
      </c>
      <c r="K52" s="40"/>
      <c r="L52" s="40"/>
      <c r="M52" s="40"/>
      <c r="N52" s="40"/>
      <c r="O52" s="40"/>
      <c r="P52" s="40"/>
      <c r="Q52" s="40"/>
    </row>
    <row r="53" spans="1:17" s="39" customFormat="1" x14ac:dyDescent="0.2">
      <c r="A53" s="18">
        <f>A51</f>
        <v>50</v>
      </c>
      <c r="B53" s="19">
        <f>B11</f>
        <v>50464.271295922481</v>
      </c>
      <c r="C53" s="31">
        <f>C51</f>
        <v>25</v>
      </c>
      <c r="D53" s="21">
        <f>(SQRT((4*($B53/((C53+1.013)*3600))/$A53)/3.1416))*1000</f>
        <v>117.14266006412137</v>
      </c>
      <c r="E53" s="91">
        <f>IF(D53&gt;1000,"Grenzwert",IF(D53&gt;900,1000-900)+IF(D53&gt;800,900-800)+IF(D53&gt;700,800-700)+IF(D53&gt;600,700-600)+IF(D53&gt;500,600-500)+IF(D53&gt;400,500-400)+IF(D53&gt;300,400-300)+IF(D53&gt;250,300-250)+IF(D53&gt;200,250-200)+IF(D53&gt;150,200-150)+IF(D53&gt;100,150-100)+IF(D53&gt;80,100-80)+IF(D53&gt;50,80-50)+IF(D53&gt;25,50,25))</f>
        <v>150</v>
      </c>
      <c r="F53" s="88">
        <f>((B53/3600)/(1.013+C53))/((E53/1000)^2*3.1416/4)</f>
        <v>30.494228459773989</v>
      </c>
      <c r="G53" s="249">
        <f>IF($G$52=TRUE,($B53/3600*$I$30*$I$29*($I$28*$E$12+($B$30-$B$29))),0)</f>
        <v>542.88599288924775</v>
      </c>
      <c r="H53" s="193">
        <f>IF(($G$53&gt;0),IF(OR($F$22=1,$E$12&gt;16),$B53,""),"")</f>
        <v>50464.271295922481</v>
      </c>
      <c r="I53" s="194">
        <f>IF(($G$53&gt;0),IF(OR($F$22=1,$E$12&gt;16),($H53/3600*$I$30*$I$29*($I$28*$E$12+($B$30-$B$29))),""),"")</f>
        <v>542.88599288924775</v>
      </c>
      <c r="J53" s="195">
        <f>IF($G$53&gt;0,($I53/($B$28/100)),"")</f>
        <v>571.45893988341868</v>
      </c>
      <c r="K53" s="40"/>
      <c r="L53" s="40"/>
      <c r="M53" s="40"/>
      <c r="N53" s="40"/>
      <c r="O53" s="40"/>
      <c r="P53" s="40"/>
      <c r="Q53" s="40"/>
    </row>
    <row r="54" spans="1:17" s="39" customFormat="1" x14ac:dyDescent="0.2">
      <c r="A54" s="12">
        <f>A53</f>
        <v>50</v>
      </c>
      <c r="B54" s="13">
        <f>B53+$B$12</f>
        <v>50714.271295922481</v>
      </c>
      <c r="C54" s="30">
        <f>C52</f>
        <v>25</v>
      </c>
      <c r="D54" s="15">
        <f>(SQRT((4*($B54/((C54+1.013)*3600))/$A54)/3.1416))*1000</f>
        <v>117.43246395440943</v>
      </c>
      <c r="E54" s="90">
        <f>IF(D54&gt;1000,"Grenzwert",IF(D54&gt;900,1000-900)+IF(D54&gt;800,900-800)+IF(D54&gt;700,800-700)+IF(D54&gt;600,700-600)+IF(D54&gt;500,600-500)+IF(D54&gt;400,500-400)+IF(D54&gt;300,400-300)+IF(D54&gt;250,300-250)+IF(D54&gt;200,250-200)+IF(D54&gt;150,200-150)+IF(D54&gt;100,150-100)+IF(D54&gt;80,100-80)+IF(D54&gt;50,80-50)+IF(D54&gt;25,50,25))</f>
        <v>150</v>
      </c>
      <c r="F54" s="87">
        <f>((B54/3600)/(1.013+C54))/((E54/1000)^2*3.1416/4)</f>
        <v>30.645296867563705</v>
      </c>
      <c r="G54" s="226"/>
      <c r="H54" s="139">
        <f>IF(($G$53&gt;0),IF(OR($F$22=1,$E$12&gt;16),$B54,""),"")</f>
        <v>50714.271295922481</v>
      </c>
      <c r="I54" s="159">
        <f>IF(($G$53&gt;0),IF(OR($F$22=1,$E$12&gt;16),($H54/3600*$I$30*$I$29*($I$28*$E$12+($B$30-$B$29))),""),"")</f>
        <v>545.57545009802118</v>
      </c>
      <c r="J54" s="160">
        <f>IF($G$53&gt;0,($I54/($B$28/100)),"")</f>
        <v>574.28994747160129</v>
      </c>
      <c r="K54" s="40"/>
      <c r="L54" s="40"/>
      <c r="M54" s="40"/>
      <c r="N54" s="40"/>
      <c r="O54" s="40"/>
      <c r="P54" s="40"/>
      <c r="Q54" s="40"/>
    </row>
    <row r="55" spans="1:17" s="41" customFormat="1" x14ac:dyDescent="0.2">
      <c r="A55" s="32">
        <f>A53</f>
        <v>50</v>
      </c>
      <c r="B55" s="33">
        <f>B54+B12</f>
        <v>50964.271295922481</v>
      </c>
      <c r="C55" s="34">
        <f>C53</f>
        <v>25</v>
      </c>
      <c r="D55" s="35">
        <f>(SQRT((4*($B55/((C55+1.013)*3600))/$A55)/3.1416))*1000</f>
        <v>117.72155441510719</v>
      </c>
      <c r="E55" s="104">
        <f>IF(D55&gt;1000,"Grenzwert",IF(D55&gt;900,1000-900)+IF(D55&gt;800,900-800)+IF(D55&gt;700,800-700)+IF(D55&gt;600,700-600)+IF(D55&gt;500,600-500)+IF(D55&gt;400,500-400)+IF(D55&gt;300,400-300)+IF(D55&gt;250,300-250)+IF(D55&gt;200,250-200)+IF(D55&gt;150,200-150)+IF(D55&gt;100,150-100)+IF(D55&gt;80,100-80)+IF(D55&gt;50,80-50)+IF(D55&gt;25,50,25))</f>
        <v>150</v>
      </c>
      <c r="F55" s="89">
        <f>((B55/3600)/(1.013+C55))/((E55/1000)^2*3.1416/4)</f>
        <v>30.79636527535343</v>
      </c>
      <c r="G55" s="227"/>
      <c r="H55" s="139">
        <f>IF(($G$53&gt;0),IF(OR($F$22=1,$E$12&gt;16),$B55,""),"")</f>
        <v>50964.271295922481</v>
      </c>
      <c r="I55" s="159">
        <f>IF(($G$53&gt;0),IF(OR($F$22=1,$E$12&gt;16),($H55/3600*$I$30*$I$29*($I$28*$E$12+($B$30-$B$29))),""),"")</f>
        <v>548.2649073067945</v>
      </c>
      <c r="J55" s="161">
        <f>IF($G$53&gt;0,($I55/($B$28/100)),"")</f>
        <v>577.12095505978368</v>
      </c>
      <c r="K55" s="40"/>
      <c r="L55" s="40"/>
      <c r="M55" s="40"/>
      <c r="N55" s="40"/>
      <c r="O55" s="40"/>
      <c r="P55" s="40"/>
      <c r="Q55" s="40"/>
    </row>
    <row r="56" spans="1:17" s="41" customFormat="1" x14ac:dyDescent="0.2">
      <c r="A56" s="86" t="s">
        <v>121</v>
      </c>
      <c r="B56" s="38" t="s">
        <v>23</v>
      </c>
      <c r="C56" s="84">
        <f>(H9+1.013)/(B9+1.01325)</f>
        <v>6.2006861887691854E-2</v>
      </c>
      <c r="D56" s="83" t="str">
        <f>IF(ABS(C56*100)&gt;=53,"unterkritisch !","überkritisch !")</f>
        <v>überkritisch !</v>
      </c>
      <c r="E56" s="16"/>
      <c r="F56" s="17"/>
      <c r="G56" s="3" t="s">
        <v>89</v>
      </c>
      <c r="H56" s="25"/>
      <c r="I56" s="25"/>
      <c r="J56" s="27"/>
    </row>
    <row r="57" spans="1:17" s="41" customFormat="1" x14ac:dyDescent="0.2">
      <c r="A57" s="37"/>
      <c r="B57" s="9" t="s">
        <v>106</v>
      </c>
      <c r="C57" s="238" t="s">
        <v>122</v>
      </c>
      <c r="D57" s="40" t="s">
        <v>124</v>
      </c>
      <c r="E57" s="16"/>
      <c r="F57" s="17"/>
      <c r="G57" s="10" t="s">
        <v>106</v>
      </c>
      <c r="I57" s="42" t="s">
        <v>81</v>
      </c>
      <c r="J57" s="29" t="s">
        <v>92</v>
      </c>
    </row>
    <row r="58" spans="1:17" x14ac:dyDescent="0.2">
      <c r="A58" s="10"/>
      <c r="B58" s="9" t="s">
        <v>101</v>
      </c>
      <c r="C58" s="239"/>
      <c r="D58" s="108">
        <f>C19/100</f>
        <v>0.1</v>
      </c>
      <c r="F58" s="43"/>
      <c r="G58" s="9" t="s">
        <v>101</v>
      </c>
      <c r="I58" s="9" t="s">
        <v>102</v>
      </c>
      <c r="J58" s="29"/>
    </row>
    <row r="59" spans="1:17" x14ac:dyDescent="0.2">
      <c r="A59" s="18"/>
      <c r="B59" s="48">
        <f>B60-B12</f>
        <v>49964.271295922481</v>
      </c>
      <c r="C59" s="90">
        <f>IF($C$56&gt;=0.53,((B59*1)/(SQRT(($H$9+1.013)*(($B$9+1.013)-($H$9+1.013))))),((B59*2)*1)/($B$9+1.013))</f>
        <v>3841.4847419307644</v>
      </c>
      <c r="D59" s="90">
        <f>C59*(1*((100+$C$19)/100))</f>
        <v>4225.6332161238415</v>
      </c>
      <c r="E59" s="40"/>
      <c r="F59" s="44"/>
      <c r="G59" s="45">
        <f>G60-B12</f>
        <v>49964.271295922481</v>
      </c>
      <c r="I59" s="95">
        <f>IF($F$37="K","entfällt",IF($F$37="E",G59/(1.01325+$B$9),G59/(1.01325+$H$9)))</f>
        <v>1920.7239116958658</v>
      </c>
      <c r="J59" s="46">
        <f>IF($F$37="K","entfällt",(IF(I59*(1.6/$F$21)&gt;160000,"Grenzwert",(IF(I59*(1.6/$F$21)&lt;4,"G 2,5",(IF($F$37="K","entfällt",IF(I59*(1.6/$F$21)&gt;160000,-100000)+IF(I59*(1.6/$F$21)&gt;100000,100000-65000)+IF(I59*(1.6/$F$21)&gt;65000,65000-40000)+IF(I59*(1.6/$F$21)&gt;40000,40000-25000)+IF(I59*(1.6/$F$21)&gt;25000,25000-16000)+IF(I59*(1.6/$F$21)&gt;16000,16000-10000)+IF(I59*(1.6/$F$21)&gt;10000,10000-6500)+IF(I59*(1.6/$F$21)&gt;6500,6500-4000)+IF(I59*(1.6/$F$21)&gt;4000,4000-2500)+IF(I59*(1.6/$F$21)&gt;2500,2500-1600)+IF(I59*(1.6/$F$21)&gt;1600,1600-1000)+IF(I59*(1.6/$F$21)&gt;1000,1000-650)+IF(I59*(1.6/$F$21)&gt;650,650-400)+IF(I59*(1.6/$F$21)&gt;400,400-250)+IF(I59*(1.6/$F$21)&gt;250,250-160)+IF(I59*(1.6/$F$21)&gt;160,160-100)+IF(I59*(1.6/$F$21)&gt;100,100-65)+IF(I59*(1.6/$F$21)&gt;65,65-40)+IF(I59*(1.6/$F$21)&gt;40,40-25)+IF(I59*(1.6/$F$21)&gt;25,25-16)+IF(I59*(1.6/$F$21)&gt;16,16-10)+IF(I59*(1.6/$F$21)&gt;10,10-6)+IF(I59*(1.6/$F$21)&gt;6,6-4,)+IF(I59*(1.6/$F$21)&gt;4-2.5,4,4))))))))</f>
        <v>1600</v>
      </c>
    </row>
    <row r="60" spans="1:17" s="41" customFormat="1" x14ac:dyDescent="0.2">
      <c r="A60" s="47"/>
      <c r="B60" s="48">
        <f>B61-B12</f>
        <v>50214.271295922481</v>
      </c>
      <c r="C60" s="90">
        <f t="shared" ref="C60:C63" si="0">IF($C$56&gt;=0.53,((B60*1)/(SQRT(($H$9+1.013)*(($B$9+1.013)-($H$9+1.013))))),((B60*2)*1)/($B$9+1.013))</f>
        <v>3860.7059005822075</v>
      </c>
      <c r="D60" s="90">
        <f>C60*(1*((100+$C$19)/100))</f>
        <v>4246.7764906404282</v>
      </c>
      <c r="E60" s="16"/>
      <c r="F60" s="49"/>
      <c r="G60" s="45">
        <f>G61-B12</f>
        <v>50214.271295922481</v>
      </c>
      <c r="I60" s="95">
        <f>IF($F$37="K","entfällt",IF($F$37="E",G60/(1.01325+$B$9),G60/(1.01325+$H$9)))</f>
        <v>1930.3343986592404</v>
      </c>
      <c r="J60" s="46">
        <f>IF($F$37="K","entfällt",(IF(I60*(1.6/$F$21)&gt;160000,"Grenzwert",(IF(I60*(1.6/$F$21)&lt;4,"G 2,5",(IF($F$37="K","entfällt",IF(I60*(1.6/$F$21)&gt;160000,-100000)+IF(I60*(1.6/$F$21)&gt;100000,100000-65000)+IF(I60*(1.6/$F$21)&gt;65000,65000-40000)+IF(I60*(1.6/$F$21)&gt;40000,40000-25000)+IF(I60*(1.6/$F$21)&gt;25000,25000-16000)+IF(I60*(1.6/$F$21)&gt;16000,16000-10000)+IF(I60*(1.6/$F$21)&gt;10000,10000-6500)+IF(I60*(1.6/$F$21)&gt;6500,6500-4000)+IF(I60*(1.6/$F$21)&gt;4000,4000-2500)+IF(I60*(1.6/$F$21)&gt;2500,2500-1600)+IF(I60*(1.6/$F$21)&gt;1600,1600-1000)+IF(I60*(1.6/$F$21)&gt;1000,1000-650)+IF(I60*(1.6/$F$21)&gt;650,650-400)+IF(I60*(1.6/$F$21)&gt;400,400-250)+IF(I60*(1.6/$F$21)&gt;250,250-160)+IF(I60*(1.6/$F$21)&gt;160,160-100)+IF(I60*(1.6/$F$21)&gt;100,100-65)+IF(I60*(1.6/$F$21)&gt;65,65-40)+IF(I60*(1.6/$F$21)&gt;40,40-25)+IF(I60*(1.6/$F$21)&gt;25,25-16)+IF(I60*(1.6/$F$21)&gt;16,16-10)+IF(I60*(1.6/$F$21)&gt;10,10-6)+IF(I60*(1.6/$F$21)&gt;6,6-4,)+IF(I60*(1.6/$F$21)&gt;4-2.5,4,4))))))))</f>
        <v>1600</v>
      </c>
    </row>
    <row r="61" spans="1:17" s="41" customFormat="1" x14ac:dyDescent="0.2">
      <c r="A61" s="47"/>
      <c r="B61" s="51">
        <f>$B$11</f>
        <v>50464.271295922481</v>
      </c>
      <c r="C61" s="113">
        <f t="shared" si="0"/>
        <v>3879.9270592336511</v>
      </c>
      <c r="D61" s="113">
        <f>C61*(1*((100+$C$19)/100))</f>
        <v>4267.9197651570166</v>
      </c>
      <c r="E61" s="16"/>
      <c r="F61" s="49"/>
      <c r="G61" s="50">
        <f>B11</f>
        <v>50464.271295922481</v>
      </c>
      <c r="I61" s="96">
        <f>IF($F$37="K","entfällt",IF($F$37="E",G61/(1.01325+$B$9),G61/(1.01325+$H$9)))</f>
        <v>1939.9448856226147</v>
      </c>
      <c r="J61" s="133">
        <f>IF($F$37="K","entfällt",(IF(I61*(1.6/$F$21)&gt;160000,"Grenzwert",(IF(I61*(1.6/$F$21)&lt;4,"G 2,5",(IF($F$37="K","entfällt",IF(I61*(1.6/$F$21)&gt;160000,-100000)+IF(I61*(1.6/$F$21)&gt;100000,100000-65000)+IF(I61*(1.6/$F$21)&gt;65000,65000-40000)+IF(I61*(1.6/$F$21)&gt;40000,40000-25000)+IF(I61*(1.6/$F$21)&gt;25000,25000-16000)+IF(I61*(1.6/$F$21)&gt;16000,16000-10000)+IF(I61*(1.6/$F$21)&gt;10000,10000-6500)+IF(I61*(1.6/$F$21)&gt;6500,6500-4000)+IF(I61*(1.6/$F$21)&gt;4000,4000-2500)+IF(I61*(1.6/$F$21)&gt;2500,2500-1600)+IF(I61*(1.6/$F$21)&gt;1600,1600-1000)+IF(I61*(1.6/$F$21)&gt;1000,1000-650)+IF(I61*(1.6/$F$21)&gt;650,650-400)+IF(I61*(1.6/$F$21)&gt;400,400-250)+IF(I61*(1.6/$F$21)&gt;250,250-160)+IF(I61*(1.6/$F$21)&gt;160,160-100)+IF(I61*(1.6/$F$21)&gt;100,100-65)+IF(I61*(1.6/$F$21)&gt;65,65-40)+IF(I61*(1.6/$F$21)&gt;40,40-25)+IF(I61*(1.6/$F$21)&gt;25,25-16)+IF(I61*(1.6/$F$21)&gt;16,16-10)+IF(I61*(1.6/$F$21)&gt;10,10-6)+IF(I61*(1.6/$F$21)&gt;6,6-4,)+IF(I61*(1.6/$F$21)&gt;4-2.5,4,4))))))))</f>
        <v>1600</v>
      </c>
    </row>
    <row r="62" spans="1:17" s="41" customFormat="1" x14ac:dyDescent="0.2">
      <c r="A62" s="47"/>
      <c r="B62" s="48">
        <f>B61+B12</f>
        <v>50714.271295922481</v>
      </c>
      <c r="C62" s="90">
        <f t="shared" si="0"/>
        <v>3899.1482178850947</v>
      </c>
      <c r="D62" s="90">
        <f>C62*(1*((100+$C$19)/100))</f>
        <v>4289.0630396736042</v>
      </c>
      <c r="E62" s="16"/>
      <c r="F62" s="49"/>
      <c r="G62" s="45">
        <f>G61+B12</f>
        <v>50714.271295922481</v>
      </c>
      <c r="I62" s="95">
        <f>IF($F$37="K","entfällt",IF($F$37="E",G62/(1.01325+$B$9),G62/(1.01325+$H$9)))</f>
        <v>1949.5553725859891</v>
      </c>
      <c r="J62" s="46">
        <f>IF($F$37="K","entfällt",(IF(I62*(1.6/$F$21)&gt;160000,"Grenzwert",(IF(I62*(1.6/$F$21)&lt;4,"G 2,5",(IF($F$37="K","entfällt",IF(I62*(1.6/$F$21)&gt;160000,-100000)+IF(I62*(1.6/$F$21)&gt;100000,100000-65000)+IF(I62*(1.6/$F$21)&gt;65000,65000-40000)+IF(I62*(1.6/$F$21)&gt;40000,40000-25000)+IF(I62*(1.6/$F$21)&gt;25000,25000-16000)+IF(I62*(1.6/$F$21)&gt;16000,16000-10000)+IF(I62*(1.6/$F$21)&gt;10000,10000-6500)+IF(I62*(1.6/$F$21)&gt;6500,6500-4000)+IF(I62*(1.6/$F$21)&gt;4000,4000-2500)+IF(I62*(1.6/$F$21)&gt;2500,2500-1600)+IF(I62*(1.6/$F$21)&gt;1600,1600-1000)+IF(I62*(1.6/$F$21)&gt;1000,1000-650)+IF(I62*(1.6/$F$21)&gt;650,650-400)+IF(I62*(1.6/$F$21)&gt;400,400-250)+IF(I62*(1.6/$F$21)&gt;250,250-160)+IF(I62*(1.6/$F$21)&gt;160,160-100)+IF(I62*(1.6/$F$21)&gt;100,100-65)+IF(I62*(1.6/$F$21)&gt;65,65-40)+IF(I62*(1.6/$F$21)&gt;40,40-25)+IF(I62*(1.6/$F$21)&gt;25,25-16)+IF(I62*(1.6/$F$21)&gt;16,16-10)+IF(I62*(1.6/$F$21)&gt;10,10-6)+IF(I62*(1.6/$F$21)&gt;6,6-4,)+IF(I62*(1.6/$F$21)&gt;4-2.5,4,4))))))))</f>
        <v>1600</v>
      </c>
    </row>
    <row r="63" spans="1:17" s="41" customFormat="1" ht="13.5" thickBot="1" x14ac:dyDescent="0.25">
      <c r="A63" s="47"/>
      <c r="B63" s="53">
        <f>B62+B12</f>
        <v>50964.271295922481</v>
      </c>
      <c r="C63" s="90">
        <f t="shared" si="0"/>
        <v>3918.3693765365383</v>
      </c>
      <c r="D63" s="90">
        <f>C63*(1*((100+$C$19)/100))</f>
        <v>4310.2063141901926</v>
      </c>
      <c r="E63" s="16"/>
      <c r="F63" s="49"/>
      <c r="G63" s="52">
        <f>G62+B12</f>
        <v>50964.271295922481</v>
      </c>
      <c r="I63" s="95">
        <f>IF($F$37="K","entfällt",IF($F$37="E",G63/(1.01325+$B$9),G63/(1.01325+$H$9)))</f>
        <v>1959.1658595493636</v>
      </c>
      <c r="J63" s="46">
        <f>IF($F$37="K","entfällt",(IF(I63*(1.6/$F$21)&gt;160000,"Grenzwert",(IF(I63*(1.6/$F$21)&lt;4,"G 2,5",(IF($F$37="K","entfällt",IF(I63*(1.6/$F$21)&gt;160000,-100000)+IF(I63*(1.6/$F$21)&gt;100000,100000-65000)+IF(I63*(1.6/$F$21)&gt;65000,65000-40000)+IF(I63*(1.6/$F$21)&gt;40000,40000-25000)+IF(I63*(1.6/$F$21)&gt;25000,25000-16000)+IF(I63*(1.6/$F$21)&gt;16000,16000-10000)+IF(I63*(1.6/$F$21)&gt;10000,10000-6500)+IF(I63*(1.6/$F$21)&gt;6500,6500-4000)+IF(I63*(1.6/$F$21)&gt;4000,4000-2500)+IF(I63*(1.6/$F$21)&gt;2500,2500-1600)+IF(I63*(1.6/$F$21)&gt;1600,1600-1000)+IF(I63*(1.6/$F$21)&gt;1000,1000-650)+IF(I63*(1.6/$F$21)&gt;650,650-400)+IF(I63*(1.6/$F$21)&gt;400,400-250)+IF(I63*(1.6/$F$21)&gt;250,250-160)+IF(I63*(1.6/$F$21)&gt;160,160-100)+IF(I63*(1.6/$F$21)&gt;100,100-65)+IF(I63*(1.6/$F$21)&gt;65,65-40)+IF(I63*(1.6/$F$21)&gt;40,40-25)+IF(I63*(1.6/$F$21)&gt;25,25-16)+IF(I63*(1.6/$F$21)&gt;16,16-10)+IF(I63*(1.6/$F$21)&gt;10,10-6)+IF(I63*(1.6/$F$21)&gt;6,6-4,)+IF(I63*(1.6/$F$21)&gt;4-2.5,4,4))))))))</f>
        <v>1600</v>
      </c>
    </row>
    <row r="64" spans="1:17" s="41" customFormat="1" ht="15.75" thickTop="1" x14ac:dyDescent="0.2">
      <c r="A64" s="85" t="s">
        <v>27</v>
      </c>
      <c r="C64" s="54"/>
      <c r="D64" s="54"/>
      <c r="E64" s="36"/>
      <c r="F64" s="55"/>
      <c r="G64" s="116" t="s">
        <v>22</v>
      </c>
      <c r="H64" s="144"/>
      <c r="I64" s="147" t="str">
        <f>IF(C24="H", "H-Gas", "L-Gas")</f>
        <v>H-Gas</v>
      </c>
      <c r="J64" s="143">
        <f>J24*100</f>
        <v>20</v>
      </c>
      <c r="L64" s="77"/>
    </row>
    <row r="65" spans="1:12" s="41" customFormat="1" x14ac:dyDescent="0.2">
      <c r="A65" s="140"/>
      <c r="C65" s="141"/>
      <c r="D65" s="141"/>
      <c r="E65" s="16"/>
      <c r="F65" s="65"/>
      <c r="G65" s="145">
        <f>B10</f>
        <v>500</v>
      </c>
      <c r="H65" s="146">
        <f>B11</f>
        <v>50464.271295922481</v>
      </c>
      <c r="I65" s="142" t="str">
        <f>IF(B33="d","SAV: Durchgang","SAV: Umlenk")</f>
        <v>SAV: Umlenk</v>
      </c>
      <c r="J65" s="153" t="str">
        <f>IF(E21="n","ZählerQmax1,0-fach","ZählerQmax1,6-fach")</f>
        <v>ZählerQmax1,6-fach</v>
      </c>
      <c r="L65" s="77"/>
    </row>
    <row r="66" spans="1:12" s="41" customFormat="1" x14ac:dyDescent="0.2">
      <c r="A66" s="140"/>
      <c r="C66" s="141"/>
      <c r="D66" s="141"/>
      <c r="E66" s="16"/>
      <c r="F66" s="65"/>
      <c r="G66" s="150">
        <f>E9</f>
        <v>70</v>
      </c>
      <c r="H66" s="151">
        <f>B9</f>
        <v>25</v>
      </c>
      <c r="I66" s="152">
        <f>H9</f>
        <v>0.6</v>
      </c>
      <c r="J66" s="154" t="str">
        <f>IF(F37="k","kein Zähler",(IF(F37="A","ZählerOPd","Zähler OPu")))</f>
        <v>Zähler OPu</v>
      </c>
      <c r="L66" s="77"/>
    </row>
    <row r="67" spans="1:12" ht="15" x14ac:dyDescent="0.2">
      <c r="A67" s="8" t="s">
        <v>106</v>
      </c>
      <c r="F67" s="56"/>
      <c r="G67" s="117"/>
      <c r="H67" s="122" t="s">
        <v>24</v>
      </c>
      <c r="I67" s="120">
        <f>E45</f>
        <v>200</v>
      </c>
      <c r="J67" s="123" t="s">
        <v>19</v>
      </c>
    </row>
    <row r="68" spans="1:12" ht="15" x14ac:dyDescent="0.2">
      <c r="A68" s="8" t="s">
        <v>101</v>
      </c>
      <c r="B68" s="9" t="s">
        <v>103</v>
      </c>
      <c r="C68" s="42" t="s">
        <v>29</v>
      </c>
      <c r="E68" s="16"/>
      <c r="F68" s="59"/>
      <c r="G68" s="118"/>
      <c r="H68" s="122" t="s">
        <v>25</v>
      </c>
      <c r="I68" s="120">
        <f>E53</f>
        <v>150</v>
      </c>
      <c r="J68" s="123" t="s">
        <v>19</v>
      </c>
    </row>
    <row r="69" spans="1:12" ht="15" x14ac:dyDescent="0.2">
      <c r="A69" s="92">
        <f>B43</f>
        <v>49964.271295922481</v>
      </c>
      <c r="B69" s="82">
        <f>A69/(1.013+$B$9)</f>
        <v>1920.7423709653822</v>
      </c>
      <c r="C69" s="57">
        <f>B69/$E$27</f>
        <v>12.804949139769214</v>
      </c>
      <c r="D69" s="58" t="s">
        <v>30</v>
      </c>
      <c r="E69" s="16"/>
      <c r="F69" s="59"/>
      <c r="G69" s="119"/>
      <c r="H69" s="122" t="s">
        <v>26</v>
      </c>
      <c r="I69" s="120">
        <f>I45</f>
        <v>800</v>
      </c>
      <c r="J69" s="123" t="s">
        <v>19</v>
      </c>
    </row>
    <row r="70" spans="1:12" ht="15" x14ac:dyDescent="0.2">
      <c r="A70" s="92">
        <f>B44</f>
        <v>50214.271295922481</v>
      </c>
      <c r="B70" s="82">
        <f>A70/(1.013+$B$9)</f>
        <v>1930.3529502911038</v>
      </c>
      <c r="C70" s="57">
        <f>B70/$E$27</f>
        <v>12.869019668607358</v>
      </c>
      <c r="D70" s="58" t="s">
        <v>30</v>
      </c>
      <c r="E70" s="16"/>
      <c r="F70" s="61"/>
      <c r="G70" s="118"/>
      <c r="H70" s="122" t="s">
        <v>141</v>
      </c>
      <c r="I70" s="120">
        <f>D61</f>
        <v>4267.9197651570166</v>
      </c>
      <c r="J70" s="123"/>
    </row>
    <row r="71" spans="1:12" ht="15" x14ac:dyDescent="0.2">
      <c r="A71" s="93">
        <f>B45</f>
        <v>50464.271295922481</v>
      </c>
      <c r="B71" s="94">
        <f>A71/(1.013+$B$9)</f>
        <v>1939.9635296168256</v>
      </c>
      <c r="C71" s="60">
        <f>B71/$E$27</f>
        <v>12.933090197445503</v>
      </c>
      <c r="D71" s="58" t="s">
        <v>30</v>
      </c>
      <c r="E71" s="62"/>
      <c r="F71" s="59"/>
      <c r="G71" s="118"/>
      <c r="H71" s="122" t="str">
        <f>IF(((H9+1.01325)/(B9+1.01325))*100&gt;=53,"(unterkritisches ","(überkritisches ")</f>
        <v xml:space="preserve">(überkritisches </v>
      </c>
      <c r="I71" s="124" t="s">
        <v>83</v>
      </c>
      <c r="J71" s="125"/>
      <c r="K71" s="115"/>
    </row>
    <row r="72" spans="1:12" ht="15" x14ac:dyDescent="0.2">
      <c r="A72" s="92">
        <f>B46</f>
        <v>50714.271295922481</v>
      </c>
      <c r="B72" s="82">
        <f>A72/(1.013+$B$9)</f>
        <v>1949.5741089425474</v>
      </c>
      <c r="C72" s="57">
        <f>B72/$E$27</f>
        <v>12.997160726283649</v>
      </c>
      <c r="D72" s="58" t="s">
        <v>30</v>
      </c>
      <c r="F72" s="59"/>
      <c r="G72" s="118"/>
      <c r="H72" s="122" t="s">
        <v>82</v>
      </c>
      <c r="I72" s="121">
        <f>I61</f>
        <v>1939.9448856226147</v>
      </c>
      <c r="J72" s="123" t="str">
        <f>IF(F37="K","","m³ Vb/h")</f>
        <v>m³ Vb/h</v>
      </c>
    </row>
    <row r="73" spans="1:12" ht="15" x14ac:dyDescent="0.2">
      <c r="A73" s="92">
        <f>B47</f>
        <v>50964.271295922481</v>
      </c>
      <c r="B73" s="82">
        <f>A73/(1.013+$B$9)</f>
        <v>1959.1846882682692</v>
      </c>
      <c r="C73" s="57">
        <f>B73/$E$27</f>
        <v>13.061231255121795</v>
      </c>
      <c r="D73" s="58" t="s">
        <v>30</v>
      </c>
      <c r="F73" s="59"/>
      <c r="G73" s="118"/>
      <c r="H73" s="122" t="s">
        <v>93</v>
      </c>
      <c r="I73" s="230">
        <f>J61</f>
        <v>1600</v>
      </c>
      <c r="J73" s="231"/>
    </row>
    <row r="74" spans="1:12" ht="15" x14ac:dyDescent="0.2">
      <c r="A74" s="63"/>
      <c r="B74" s="64"/>
      <c r="F74" s="138"/>
      <c r="G74" s="118"/>
      <c r="H74" s="122" t="str">
        <f>IF(($G$53&gt;0),IF(OR($F$22=1,$E$12&gt;16),"Vorwärmerleistung:","kein Vorwärmer notwendig"),"kein Vorwärmer notwendig")</f>
        <v>Vorwärmerleistung:</v>
      </c>
      <c r="I74" s="121">
        <f>IF(($G$53&gt;0),IF(OR($F$22=1,$E$12&gt;16),$G$53,""),"")</f>
        <v>542.88599288924775</v>
      </c>
      <c r="J74" s="149" t="str">
        <f>IF($H$74="Vorwärmerleistung:","kW","")</f>
        <v>kW</v>
      </c>
    </row>
    <row r="75" spans="1:12" ht="15" x14ac:dyDescent="0.2">
      <c r="A75" s="28"/>
      <c r="G75" s="118"/>
      <c r="H75" s="134" t="str">
        <f>IF($H$74="Vorwärmerleistung:","Heizkesselleistung:","t Ausgang:")</f>
        <v>Heizkesselleistung:</v>
      </c>
      <c r="I75" s="121">
        <f>IF($H$74="Vorwärmerleistung:",($I$74/($B$28/100)),$B$29-($I$28*$E$12))</f>
        <v>571.45893988341868</v>
      </c>
      <c r="J75" s="149" t="str">
        <f>IF($H$74="Vorwärmerleistung:","kW","°C")</f>
        <v>kW</v>
      </c>
      <c r="K75" s="148"/>
      <c r="L75" s="122"/>
    </row>
    <row r="76" spans="1:12" ht="15" x14ac:dyDescent="0.2">
      <c r="A76" s="28"/>
      <c r="F76" s="65"/>
      <c r="G76" s="117"/>
      <c r="H76" s="122" t="s">
        <v>27</v>
      </c>
      <c r="I76" s="127">
        <f>C71</f>
        <v>12.933090197445503</v>
      </c>
      <c r="J76" s="128" t="s">
        <v>30</v>
      </c>
      <c r="K76" s="115"/>
    </row>
    <row r="77" spans="1:12" ht="13.5" thickBot="1" x14ac:dyDescent="0.25">
      <c r="A77" s="22"/>
      <c r="B77" s="156"/>
      <c r="C77" s="157"/>
      <c r="D77" s="157"/>
      <c r="E77" s="157"/>
      <c r="F77" s="158"/>
      <c r="G77" s="132"/>
      <c r="H77" s="180" t="str">
        <f>IF($H$74="Vorwärmerleistung:","t Ausgang ohne Vorwärmung:","")</f>
        <v>t Ausgang ohne Vorwärmung:</v>
      </c>
      <c r="I77" s="180">
        <f>IF($H$74="Vorwärmerleistung:",$B$29-($I$28*$E$12),"")</f>
        <v>-22.426880000000001</v>
      </c>
      <c r="J77" s="181" t="str">
        <f>IF($H$74="Vorwärmerleistung:","°C","")</f>
        <v>°C</v>
      </c>
      <c r="K77" s="129"/>
    </row>
    <row r="78" spans="1:12" ht="15.75" thickTop="1" x14ac:dyDescent="0.2">
      <c r="G78" s="228"/>
      <c r="H78" s="229"/>
      <c r="I78" s="120"/>
    </row>
    <row r="80" spans="1:12" x14ac:dyDescent="0.2">
      <c r="J80" s="126"/>
    </row>
  </sheetData>
  <sheetProtection algorithmName="SHA-512" hashValue="QF0ajB0YQ49E46WjAoAHkiVfwsfvgs3kQXaOyWpjzZQCsjtnjovPn8xvJ1OQRYhU9lP8QcRJZAX1nasGKIL/GA==" saltValue="hlzVmIBqG3WGx5nPHcl2Cg==" spinCount="100000" sheet="1" objects="1" scenarios="1"/>
  <mergeCells count="9">
    <mergeCell ref="G78:H78"/>
    <mergeCell ref="I73:J73"/>
    <mergeCell ref="A24:B24"/>
    <mergeCell ref="B6:G6"/>
    <mergeCell ref="G48:I48"/>
    <mergeCell ref="C57:C58"/>
    <mergeCell ref="F21:J21"/>
    <mergeCell ref="B7:C7"/>
    <mergeCell ref="E7:F7"/>
  </mergeCells>
  <phoneticPr fontId="0" type="noConversion"/>
  <conditionalFormatting sqref="F37">
    <cfRule type="cellIs" priority="1" stopIfTrue="1" operator="equal">
      <formula>"E"</formula>
    </cfRule>
  </conditionalFormatting>
  <printOptions horizontalCentered="1" verticalCentered="1"/>
  <pageMargins left="0.59055118110236227" right="0.27559055118110237" top="0.78740157480314965" bottom="0.31496062992125984" header="0.66" footer="0.51181102362204722"/>
  <pageSetup paperSize="9" scale="63" orientation="portrait" r:id="rId1"/>
  <headerFooter alignWithMargins="0">
    <oddFooter>&amp;R&amp;6&amp;F/&amp;A</oddFooter>
  </headerFooter>
  <ignoredErrors>
    <ignoredError sqref="B46:B47 B52:B53 A54 B55" formula="1"/>
    <ignoredError sqref="B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0"/>
  <sheetViews>
    <sheetView workbookViewId="0">
      <selection activeCell="C18" sqref="C18"/>
    </sheetView>
  </sheetViews>
  <sheetFormatPr baseColWidth="10" defaultColWidth="11.42578125" defaultRowHeight="14.25" x14ac:dyDescent="0.2"/>
  <cols>
    <col min="1" max="1" width="37.42578125" style="164" customWidth="1"/>
    <col min="2" max="6" width="11.42578125" style="164"/>
    <col min="7" max="7" width="9.28515625" style="164" customWidth="1"/>
    <col min="8" max="16384" width="11.42578125" style="164"/>
  </cols>
  <sheetData>
    <row r="1" spans="1:7" ht="15" x14ac:dyDescent="0.25">
      <c r="A1" s="163" t="s">
        <v>85</v>
      </c>
      <c r="D1" s="164" t="s">
        <v>168</v>
      </c>
      <c r="F1" s="164" t="s">
        <v>84</v>
      </c>
    </row>
    <row r="3" spans="1:7" s="165" customFormat="1" ht="15" x14ac:dyDescent="0.25">
      <c r="A3" s="165" t="s">
        <v>153</v>
      </c>
    </row>
    <row r="4" spans="1:7" s="165" customFormat="1" ht="15" x14ac:dyDescent="0.25">
      <c r="A4" s="165" t="s">
        <v>129</v>
      </c>
    </row>
    <row r="5" spans="1:7" ht="15" x14ac:dyDescent="0.25">
      <c r="A5" s="165" t="s">
        <v>154</v>
      </c>
    </row>
    <row r="6" spans="1:7" ht="15" x14ac:dyDescent="0.25">
      <c r="A6" s="165"/>
    </row>
    <row r="7" spans="1:7" x14ac:dyDescent="0.2">
      <c r="A7" s="166" t="s">
        <v>46</v>
      </c>
      <c r="B7" s="167"/>
      <c r="C7" s="167"/>
      <c r="D7" s="167"/>
      <c r="E7" s="167"/>
      <c r="F7" s="167"/>
      <c r="G7" s="168"/>
    </row>
    <row r="8" spans="1:7" ht="15" x14ac:dyDescent="0.25">
      <c r="A8" s="178" t="s">
        <v>86</v>
      </c>
      <c r="B8" s="169"/>
      <c r="C8" s="169"/>
      <c r="D8" s="169"/>
      <c r="E8" s="169"/>
      <c r="F8" s="169"/>
      <c r="G8" s="170"/>
    </row>
    <row r="9" spans="1:7" x14ac:dyDescent="0.2">
      <c r="A9" s="177" t="s">
        <v>155</v>
      </c>
      <c r="B9" s="171"/>
      <c r="C9" s="171"/>
      <c r="D9" s="171"/>
      <c r="E9" s="171"/>
      <c r="F9" s="171"/>
      <c r="G9" s="172"/>
    </row>
    <row r="11" spans="1:7" ht="15" x14ac:dyDescent="0.25">
      <c r="A11" s="163" t="s">
        <v>156</v>
      </c>
    </row>
    <row r="12" spans="1:7" ht="15" x14ac:dyDescent="0.25">
      <c r="A12" s="165" t="s">
        <v>166</v>
      </c>
    </row>
    <row r="13" spans="1:7" ht="15" x14ac:dyDescent="0.25">
      <c r="A13" s="165" t="s">
        <v>157</v>
      </c>
    </row>
    <row r="14" spans="1:7" ht="15" x14ac:dyDescent="0.25">
      <c r="A14" s="165" t="s">
        <v>158</v>
      </c>
    </row>
    <row r="15" spans="1:7" ht="15" x14ac:dyDescent="0.25">
      <c r="A15" s="165" t="s">
        <v>159</v>
      </c>
    </row>
    <row r="16" spans="1:7" ht="15" x14ac:dyDescent="0.25">
      <c r="A16" s="163" t="s">
        <v>160</v>
      </c>
    </row>
    <row r="17" spans="1:1" ht="15" x14ac:dyDescent="0.25">
      <c r="A17" s="165" t="s">
        <v>161</v>
      </c>
    </row>
    <row r="19" spans="1:1" x14ac:dyDescent="0.2">
      <c r="A19" s="173" t="s">
        <v>162</v>
      </c>
    </row>
    <row r="20" spans="1:1" x14ac:dyDescent="0.2">
      <c r="A20" s="164" t="s">
        <v>79</v>
      </c>
    </row>
    <row r="21" spans="1:1" x14ac:dyDescent="0.2">
      <c r="A21" s="174" t="s">
        <v>47</v>
      </c>
    </row>
    <row r="22" spans="1:1" x14ac:dyDescent="0.2">
      <c r="A22" s="174" t="s">
        <v>48</v>
      </c>
    </row>
    <row r="23" spans="1:1" x14ac:dyDescent="0.2">
      <c r="A23" s="174" t="s">
        <v>49</v>
      </c>
    </row>
    <row r="24" spans="1:1" ht="16.5" customHeight="1" x14ac:dyDescent="0.35">
      <c r="A24" s="174" t="s">
        <v>163</v>
      </c>
    </row>
    <row r="25" spans="1:1" x14ac:dyDescent="0.2">
      <c r="A25" s="174" t="s">
        <v>50</v>
      </c>
    </row>
    <row r="26" spans="1:1" x14ac:dyDescent="0.2">
      <c r="A26" s="174" t="s">
        <v>51</v>
      </c>
    </row>
    <row r="27" spans="1:1" x14ac:dyDescent="0.2">
      <c r="A27" s="174" t="s">
        <v>52</v>
      </c>
    </row>
    <row r="28" spans="1:1" x14ac:dyDescent="0.2">
      <c r="A28" s="174" t="s">
        <v>95</v>
      </c>
    </row>
    <row r="29" spans="1:1" x14ac:dyDescent="0.2">
      <c r="A29" s="164" t="s">
        <v>78</v>
      </c>
    </row>
    <row r="31" spans="1:1" x14ac:dyDescent="0.2">
      <c r="A31" s="173" t="s">
        <v>31</v>
      </c>
    </row>
    <row r="32" spans="1:1" x14ac:dyDescent="0.2">
      <c r="A32" s="164" t="s">
        <v>117</v>
      </c>
    </row>
    <row r="33" spans="1:7" x14ac:dyDescent="0.2">
      <c r="A33" s="164" t="s">
        <v>32</v>
      </c>
    </row>
    <row r="34" spans="1:7" x14ac:dyDescent="0.2">
      <c r="A34" s="164" t="s">
        <v>53</v>
      </c>
    </row>
    <row r="35" spans="1:7" x14ac:dyDescent="0.2">
      <c r="A35" s="164" t="s">
        <v>118</v>
      </c>
    </row>
    <row r="37" spans="1:7" x14ac:dyDescent="0.2">
      <c r="A37" s="173" t="s">
        <v>33</v>
      </c>
    </row>
    <row r="38" spans="1:7" x14ac:dyDescent="0.2">
      <c r="A38" s="164" t="s">
        <v>34</v>
      </c>
    </row>
    <row r="39" spans="1:7" x14ac:dyDescent="0.2">
      <c r="A39" s="164" t="s">
        <v>35</v>
      </c>
    </row>
    <row r="40" spans="1:7" x14ac:dyDescent="0.2">
      <c r="A40" s="164" t="s">
        <v>112</v>
      </c>
    </row>
    <row r="41" spans="1:7" x14ac:dyDescent="0.2">
      <c r="A41" s="164" t="s">
        <v>36</v>
      </c>
    </row>
    <row r="42" spans="1:7" x14ac:dyDescent="0.2">
      <c r="A42" s="164" t="s">
        <v>54</v>
      </c>
    </row>
    <row r="44" spans="1:7" x14ac:dyDescent="0.2">
      <c r="A44" s="173" t="s">
        <v>38</v>
      </c>
    </row>
    <row r="45" spans="1:7" x14ac:dyDescent="0.2">
      <c r="A45" s="247" t="s">
        <v>164</v>
      </c>
      <c r="B45" s="247"/>
      <c r="C45" s="247"/>
      <c r="D45" s="247"/>
      <c r="E45" s="247"/>
      <c r="F45" s="247"/>
      <c r="G45" s="248"/>
    </row>
    <row r="46" spans="1:7" x14ac:dyDescent="0.2">
      <c r="A46" s="164" t="s">
        <v>55</v>
      </c>
    </row>
    <row r="47" spans="1:7" ht="18.75" x14ac:dyDescent="0.35">
      <c r="A47" s="164" t="s">
        <v>165</v>
      </c>
    </row>
    <row r="48" spans="1:7" x14ac:dyDescent="0.2">
      <c r="A48" s="175" t="s">
        <v>80</v>
      </c>
    </row>
    <row r="49" spans="1:9" x14ac:dyDescent="0.2">
      <c r="A49" s="164" t="s">
        <v>56</v>
      </c>
    </row>
    <row r="50" spans="1:9" x14ac:dyDescent="0.2">
      <c r="A50" s="164" t="s">
        <v>130</v>
      </c>
      <c r="B50" s="176"/>
      <c r="C50" s="176"/>
      <c r="D50" s="176"/>
      <c r="E50" s="176"/>
      <c r="F50" s="176"/>
      <c r="G50" s="176"/>
      <c r="H50" s="176"/>
      <c r="I50" s="176"/>
    </row>
    <row r="52" spans="1:9" x14ac:dyDescent="0.2">
      <c r="A52" s="173" t="s">
        <v>39</v>
      </c>
    </row>
    <row r="53" spans="1:9" x14ac:dyDescent="0.2">
      <c r="A53" s="164" t="s">
        <v>131</v>
      </c>
    </row>
    <row r="54" spans="1:9" x14ac:dyDescent="0.2">
      <c r="A54" s="164" t="s">
        <v>132</v>
      </c>
    </row>
    <row r="55" spans="1:9" x14ac:dyDescent="0.2">
      <c r="A55" s="164" t="s">
        <v>94</v>
      </c>
    </row>
    <row r="56" spans="1:9" x14ac:dyDescent="0.2">
      <c r="A56" s="164" t="s">
        <v>99</v>
      </c>
    </row>
    <row r="58" spans="1:9" x14ac:dyDescent="0.2">
      <c r="A58" s="173" t="s">
        <v>40</v>
      </c>
    </row>
    <row r="59" spans="1:9" x14ac:dyDescent="0.2">
      <c r="A59" s="164" t="s">
        <v>41</v>
      </c>
    </row>
    <row r="60" spans="1:9" x14ac:dyDescent="0.2">
      <c r="A60" s="164" t="s">
        <v>36</v>
      </c>
    </row>
    <row r="61" spans="1:9" x14ac:dyDescent="0.2">
      <c r="A61" s="164" t="s">
        <v>37</v>
      </c>
    </row>
    <row r="62" spans="1:9" x14ac:dyDescent="0.2">
      <c r="A62" s="164" t="s">
        <v>76</v>
      </c>
    </row>
    <row r="64" spans="1:9" x14ac:dyDescent="0.2">
      <c r="A64" s="173" t="s">
        <v>21</v>
      </c>
    </row>
    <row r="65" spans="1:8" x14ac:dyDescent="0.2">
      <c r="A65" s="164" t="s">
        <v>42</v>
      </c>
    </row>
    <row r="66" spans="1:8" x14ac:dyDescent="0.2">
      <c r="A66" s="164" t="s">
        <v>43</v>
      </c>
    </row>
    <row r="67" spans="1:8" x14ac:dyDescent="0.2">
      <c r="A67" s="164" t="s">
        <v>96</v>
      </c>
    </row>
    <row r="68" spans="1:8" x14ac:dyDescent="0.2">
      <c r="A68" s="164" t="s">
        <v>44</v>
      </c>
    </row>
    <row r="69" spans="1:8" x14ac:dyDescent="0.2">
      <c r="A69" s="164" t="s">
        <v>75</v>
      </c>
    </row>
    <row r="70" spans="1:8" x14ac:dyDescent="0.2">
      <c r="A70" s="164" t="s">
        <v>45</v>
      </c>
    </row>
    <row r="72" spans="1:8" x14ac:dyDescent="0.2">
      <c r="A72" s="164" t="s">
        <v>57</v>
      </c>
    </row>
    <row r="73" spans="1:8" x14ac:dyDescent="0.2">
      <c r="A73" s="164" t="s">
        <v>59</v>
      </c>
    </row>
    <row r="74" spans="1:8" x14ac:dyDescent="0.2">
      <c r="A74" s="173" t="s">
        <v>58</v>
      </c>
    </row>
    <row r="75" spans="1:8" x14ac:dyDescent="0.2">
      <c r="A75" s="164" t="s">
        <v>60</v>
      </c>
    </row>
    <row r="77" spans="1:8" x14ac:dyDescent="0.2">
      <c r="A77" s="173" t="s">
        <v>169</v>
      </c>
      <c r="B77" s="162"/>
      <c r="C77" s="162"/>
      <c r="D77" s="162"/>
      <c r="E77" s="162"/>
      <c r="F77" s="162"/>
      <c r="G77" s="162"/>
      <c r="H77" s="162"/>
    </row>
    <row r="78" spans="1:8" x14ac:dyDescent="0.2">
      <c r="A78" s="164" t="s">
        <v>170</v>
      </c>
      <c r="B78" s="162"/>
      <c r="C78" s="162"/>
      <c r="D78" s="162"/>
      <c r="E78" s="162"/>
      <c r="F78" s="162"/>
      <c r="G78" s="162"/>
      <c r="H78" s="162"/>
    </row>
    <row r="79" spans="1:8" x14ac:dyDescent="0.2">
      <c r="A79" s="164" t="s">
        <v>171</v>
      </c>
      <c r="B79" s="162"/>
      <c r="C79" s="162"/>
      <c r="D79" s="162"/>
      <c r="E79" s="162"/>
      <c r="F79" s="162"/>
      <c r="G79" s="162"/>
      <c r="H79" s="162"/>
    </row>
    <row r="80" spans="1:8" x14ac:dyDescent="0.2">
      <c r="A80" s="164" t="s">
        <v>172</v>
      </c>
      <c r="B80" s="162"/>
      <c r="C80" s="162"/>
      <c r="D80" s="162"/>
      <c r="E80" s="162"/>
      <c r="F80" s="162"/>
      <c r="G80" s="162"/>
      <c r="H80" s="162"/>
    </row>
    <row r="81" spans="1:8" x14ac:dyDescent="0.2">
      <c r="A81" s="164" t="s">
        <v>177</v>
      </c>
      <c r="B81" s="162"/>
      <c r="C81" s="162"/>
      <c r="D81" s="162"/>
      <c r="E81" s="162"/>
      <c r="F81" s="162"/>
      <c r="G81" s="162"/>
      <c r="H81" s="162"/>
    </row>
    <row r="82" spans="1:8" x14ac:dyDescent="0.2">
      <c r="A82" s="162"/>
      <c r="B82" s="162"/>
      <c r="C82" s="162"/>
      <c r="D82" s="162"/>
      <c r="E82" s="162"/>
      <c r="F82" s="162"/>
      <c r="G82" s="162"/>
      <c r="H82" s="162"/>
    </row>
    <row r="83" spans="1:8" x14ac:dyDescent="0.2">
      <c r="A83" s="173" t="s">
        <v>77</v>
      </c>
    </row>
    <row r="84" spans="1:8" x14ac:dyDescent="0.2">
      <c r="A84" s="164" t="s">
        <v>167</v>
      </c>
    </row>
    <row r="86" spans="1:8" x14ac:dyDescent="0.2">
      <c r="A86" s="173" t="s">
        <v>63</v>
      </c>
    </row>
    <row r="87" spans="1:8" x14ac:dyDescent="0.2">
      <c r="A87" s="164" t="s">
        <v>109</v>
      </c>
    </row>
    <row r="88" spans="1:8" x14ac:dyDescent="0.2">
      <c r="A88" s="164" t="s">
        <v>111</v>
      </c>
    </row>
    <row r="89" spans="1:8" x14ac:dyDescent="0.2">
      <c r="A89" s="164" t="s">
        <v>110</v>
      </c>
    </row>
    <row r="90" spans="1:8" x14ac:dyDescent="0.2">
      <c r="A90" s="164" t="s">
        <v>64</v>
      </c>
    </row>
  </sheetData>
  <sheetProtection algorithmName="SHA-512" hashValue="AqO07fawajIeH1Ta+R+s3/9pD9jajj8Mn271rvy/mTI2RE3xbQO6zzpqiFAQwkGxA4WNkX7N4S98k+ArkA0T5A==" saltValue="ExiSi+bToQ2coZMlgZSQnA==" spinCount="100000" sheet="1" objects="1" scenarios="1"/>
  <mergeCells count="1">
    <mergeCell ref="A45:G45"/>
  </mergeCells>
  <phoneticPr fontId="12" type="noConversion"/>
  <printOptions horizontalCentered="1" verticalCentered="1"/>
  <pageMargins left="0.98425196850393704" right="0.47244094488188981" top="0.78740157480314965" bottom="0.78740157480314965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Anlagenberechnung</vt:lpstr>
      <vt:lpstr>Bedienungsanleitung</vt:lpstr>
      <vt:lpstr>Anlagenberechnung!Druckbereich</vt:lpstr>
    </vt:vector>
  </TitlesOfParts>
  <Company>Ollesch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GDRdim_v1_2</dc:title>
  <dc:subject>Dimensionierung GDRM-Anlagen</dc:subject>
  <dc:creator>Ollesch</dc:creator>
  <dc:description>04_03_08b</dc:description>
  <cp:lastModifiedBy>Volker Ollesch</cp:lastModifiedBy>
  <cp:lastPrinted>2023-05-30T15:43:57Z</cp:lastPrinted>
  <dcterms:created xsi:type="dcterms:W3CDTF">1997-02-06T07:20:42Z</dcterms:created>
  <dcterms:modified xsi:type="dcterms:W3CDTF">2024-06-04T08:48:23Z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-520550387</vt:i4>
  </property>
  <property fmtid="{D5CDD505-2E9C-101B-9397-08002B2CF9AE}" pid="3" name="_EmailSubject">
    <vt:lpwstr>Berechnungstools GDRM Excel</vt:lpwstr>
  </property>
  <property fmtid="{D5CDD505-2E9C-101B-9397-08002B2CF9AE}" pid="4" name="_AuthorEmail">
    <vt:lpwstr>volker.ollesch@rwe.com</vt:lpwstr>
  </property>
  <property fmtid="{D5CDD505-2E9C-101B-9397-08002B2CF9AE}" pid="5" name="_AuthorEmailDisplayName">
    <vt:lpwstr>Ollesch, Volker</vt:lpwstr>
  </property>
  <property fmtid="{D5CDD505-2E9C-101B-9397-08002B2CF9AE}" pid="6" name="_ReviewingToolsShownOnce">
    <vt:lpwstr/>
  </property>
</Properties>
</file>